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NATIONAL\Tax\Website\"/>
    </mc:Choice>
  </mc:AlternateContent>
  <xr:revisionPtr revIDLastSave="0" documentId="13_ncr:1_{1BF2868A-1300-49C0-A8E3-CDD0867FF31D}" xr6:coauthVersionLast="47" xr6:coauthVersionMax="47" xr10:uidLastSave="{00000000-0000-0000-0000-000000000000}"/>
  <bookViews>
    <workbookView xWindow="1125" yWindow="1125" windowWidth="21600" windowHeight="11325" tabRatio="836" xr2:uid="{00000000-000D-0000-FFFF-FFFF00000000}"/>
  </bookViews>
  <sheets>
    <sheet name="Financial Statements" sheetId="20" r:id="rId1"/>
    <sheet name="Tax Note" sheetId="29" r:id="rId2"/>
    <sheet name="Tax Balances" sheetId="32" r:id="rId3"/>
    <sheet name="Current Tax Calc" sheetId="24" r:id="rId4"/>
    <sheet name="Deferred Tax Calc" sheetId="28" r:id="rId5"/>
    <sheet name="FAR" sheetId="3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9" l="1"/>
  <c r="D37" i="29" l="1"/>
  <c r="D38" i="29"/>
  <c r="E16" i="28"/>
  <c r="H46" i="33"/>
  <c r="D16" i="28" s="1"/>
  <c r="H31" i="33"/>
  <c r="F25" i="28" l="1"/>
  <c r="H25" i="28" s="1"/>
  <c r="G25" i="29" l="1"/>
  <c r="H29" i="33"/>
  <c r="H12" i="33"/>
  <c r="G5" i="29" l="1"/>
  <c r="E37" i="33" l="1"/>
  <c r="E35" i="33"/>
  <c r="G17" i="29" l="1"/>
  <c r="H48" i="24" l="1"/>
  <c r="H49" i="24"/>
  <c r="H42" i="20"/>
  <c r="D18" i="28" s="1"/>
  <c r="G21" i="29" l="1"/>
  <c r="F8" i="24"/>
  <c r="G19" i="29" s="1"/>
  <c r="F52" i="28"/>
  <c r="F31" i="28"/>
  <c r="A1" i="29"/>
  <c r="A1" i="32" s="1"/>
  <c r="E21" i="32"/>
  <c r="E38" i="33"/>
  <c r="F23" i="24"/>
  <c r="F29" i="28" s="1"/>
  <c r="G33" i="33"/>
  <c r="H33" i="33" s="1"/>
  <c r="F24" i="24"/>
  <c r="F30" i="28" s="1"/>
  <c r="F26" i="24"/>
  <c r="F34" i="28" s="1"/>
  <c r="H23" i="24"/>
  <c r="F40" i="24" s="1"/>
  <c r="H24" i="24"/>
  <c r="F41" i="24" s="1"/>
  <c r="H26" i="24"/>
  <c r="I26" i="24" s="1"/>
  <c r="F35" i="28"/>
  <c r="H8" i="24"/>
  <c r="I8" i="24"/>
  <c r="I23" i="24"/>
  <c r="G14" i="33"/>
  <c r="H14" i="33" s="1"/>
  <c r="G35" i="33"/>
  <c r="H35" i="33" s="1"/>
  <c r="G16" i="33"/>
  <c r="H16" i="33" s="1"/>
  <c r="G19" i="33"/>
  <c r="H19" i="33" s="1"/>
  <c r="H41" i="20" s="1"/>
  <c r="H43" i="20" s="1"/>
  <c r="H20" i="20" s="1"/>
  <c r="D11" i="28" s="1"/>
  <c r="G37" i="33"/>
  <c r="H37" i="33" s="1"/>
  <c r="H31" i="20"/>
  <c r="H30" i="20"/>
  <c r="H10" i="33"/>
  <c r="D15" i="28" s="1"/>
  <c r="H27" i="33"/>
  <c r="E15" i="28" s="1"/>
  <c r="F24" i="28"/>
  <c r="H24" i="28" s="1"/>
  <c r="F26" i="28"/>
  <c r="H26" i="28" s="1"/>
  <c r="E17" i="33"/>
  <c r="E20" i="33" s="1"/>
  <c r="H43" i="28"/>
  <c r="H39" i="28"/>
  <c r="D17" i="33"/>
  <c r="F51" i="28" s="1"/>
  <c r="H55" i="28"/>
  <c r="F44" i="24"/>
  <c r="F53" i="24"/>
  <c r="G22" i="29" s="1"/>
  <c r="A3" i="33"/>
  <c r="A3" i="29"/>
  <c r="A3" i="28"/>
  <c r="A3" i="24"/>
  <c r="A3" i="32"/>
  <c r="C38" i="33"/>
  <c r="C17" i="33"/>
  <c r="C20" i="33" s="1"/>
  <c r="I34" i="24"/>
  <c r="I27" i="24"/>
  <c r="H53" i="24"/>
  <c r="I16" i="24"/>
  <c r="I19" i="24"/>
  <c r="I20" i="24"/>
  <c r="I30" i="24"/>
  <c r="H23" i="29" s="1"/>
  <c r="I36" i="24"/>
  <c r="I40" i="24"/>
  <c r="I41" i="24"/>
  <c r="I43" i="24"/>
  <c r="I44" i="24"/>
  <c r="I47" i="24"/>
  <c r="G37" i="29" s="1"/>
  <c r="G38" i="29" s="1"/>
  <c r="I53" i="24"/>
  <c r="E29" i="32"/>
  <c r="F13" i="32"/>
  <c r="F12" i="32"/>
  <c r="G24" i="32"/>
  <c r="I41" i="20"/>
  <c r="F17" i="33"/>
  <c r="F20" i="33" s="1"/>
  <c r="F38" i="33"/>
  <c r="D38" i="33"/>
  <c r="H22" i="29"/>
  <c r="I35" i="20"/>
  <c r="E38" i="29"/>
  <c r="F38" i="29"/>
  <c r="H21" i="29"/>
  <c r="G23" i="29"/>
  <c r="H17" i="29"/>
  <c r="H19" i="29" s="1"/>
  <c r="H39" i="29"/>
  <c r="H24" i="29"/>
  <c r="D20" i="33" l="1"/>
  <c r="G38" i="33"/>
  <c r="F34" i="24" s="1"/>
  <c r="H13" i="20"/>
  <c r="F20" i="24"/>
  <c r="G17" i="33"/>
  <c r="G20" i="33" s="1"/>
  <c r="F16" i="24" s="1"/>
  <c r="H35" i="20" s="1"/>
  <c r="F53" i="28"/>
  <c r="H53" i="28" s="1"/>
  <c r="H58" i="28" s="1"/>
  <c r="H27" i="32" s="1"/>
  <c r="H38" i="32" s="1"/>
  <c r="F9" i="32" s="1"/>
  <c r="H46" i="24"/>
  <c r="H50" i="24" s="1"/>
  <c r="H52" i="24" s="1"/>
  <c r="H54" i="24" s="1"/>
  <c r="H55" i="24" s="1"/>
  <c r="I43" i="20"/>
  <c r="I20" i="20" s="1"/>
  <c r="I19" i="20"/>
  <c r="H38" i="29"/>
  <c r="H12" i="29" s="1"/>
  <c r="H38" i="33"/>
  <c r="E8" i="28" s="1"/>
  <c r="E13" i="28" s="1"/>
  <c r="E22" i="28" s="1"/>
  <c r="H17" i="33"/>
  <c r="H37" i="29"/>
  <c r="H32" i="28"/>
  <c r="E43" i="29" s="1"/>
  <c r="E41" i="29" s="1"/>
  <c r="I24" i="24"/>
  <c r="I46" i="24" s="1"/>
  <c r="I50" i="24" s="1"/>
  <c r="I52" i="24" s="1"/>
  <c r="F43" i="24"/>
  <c r="H37" i="28"/>
  <c r="F43" i="29" s="1"/>
  <c r="F41" i="29" s="1"/>
  <c r="A1" i="24"/>
  <c r="A1" i="28"/>
  <c r="A1" i="33"/>
  <c r="D42" i="29" l="1"/>
  <c r="H42" i="29" s="1"/>
  <c r="H14" i="20" s="1"/>
  <c r="F46" i="24"/>
  <c r="F50" i="24" s="1"/>
  <c r="F52" i="24" s="1"/>
  <c r="F54" i="24" s="1"/>
  <c r="F59" i="24" s="1"/>
  <c r="F63" i="32"/>
  <c r="A63" i="32" s="1"/>
  <c r="I54" i="24"/>
  <c r="I55" i="24" s="1"/>
  <c r="E23" i="32" s="1"/>
  <c r="G23" i="32" s="1"/>
  <c r="H9" i="29"/>
  <c r="H13" i="29" s="1"/>
  <c r="I9" i="20" s="1"/>
  <c r="I10" i="20" s="1"/>
  <c r="H40" i="29"/>
  <c r="I26" i="20" s="1"/>
  <c r="H20" i="33"/>
  <c r="H19" i="20"/>
  <c r="D8" i="28" s="1"/>
  <c r="D13" i="28" s="1"/>
  <c r="D22" i="28" s="1"/>
  <c r="F22" i="28" s="1"/>
  <c r="F38" i="28" s="1"/>
  <c r="F40" i="28" s="1"/>
  <c r="F58" i="24" l="1"/>
  <c r="F60" i="24" s="1"/>
  <c r="F42" i="28" s="1"/>
  <c r="F44" i="28" s="1"/>
  <c r="F21" i="32"/>
  <c r="H27" i="29"/>
  <c r="H26" i="29" s="1"/>
  <c r="H22" i="28"/>
  <c r="D43" i="29" s="1"/>
  <c r="F55" i="24"/>
  <c r="E26" i="32" s="1"/>
  <c r="F58" i="32"/>
  <c r="G10" i="29"/>
  <c r="H38" i="28" l="1"/>
  <c r="H40" i="28" s="1"/>
  <c r="H42" i="28"/>
  <c r="H44" i="28" s="1"/>
  <c r="G43" i="29" s="1"/>
  <c r="G41" i="29" s="1"/>
  <c r="G26" i="32"/>
  <c r="E38" i="32"/>
  <c r="F45" i="32" s="1"/>
  <c r="F48" i="32" s="1"/>
  <c r="G31" i="29" s="1"/>
  <c r="A58" i="32"/>
  <c r="F59" i="32"/>
  <c r="A59" i="32" s="1"/>
  <c r="D41" i="29"/>
  <c r="G24" i="29"/>
  <c r="H41" i="29" l="1"/>
  <c r="G12" i="29" s="1"/>
  <c r="H46" i="28"/>
  <c r="F27" i="32" s="1"/>
  <c r="G27" i="32" s="1"/>
  <c r="F62" i="32" s="1"/>
  <c r="F64" i="32" s="1"/>
  <c r="A64" i="32" s="1"/>
  <c r="H43" i="29"/>
  <c r="H26" i="20" s="1"/>
  <c r="G9" i="29"/>
  <c r="F54" i="32"/>
  <c r="H23" i="20"/>
  <c r="F10" i="32"/>
  <c r="F38" i="32" l="1"/>
  <c r="F11" i="32" s="1"/>
  <c r="A62" i="32"/>
  <c r="G13" i="29"/>
  <c r="G27" i="29" s="1"/>
  <c r="G26" i="29" s="1"/>
  <c r="G38" i="32"/>
  <c r="F8" i="32" s="1"/>
  <c r="F55" i="32"/>
  <c r="A55" i="32" s="1"/>
  <c r="A54" i="32"/>
  <c r="H9" i="20" l="1"/>
  <c r="H10" i="20" s="1"/>
</calcChain>
</file>

<file path=xl/sharedStrings.xml><?xml version="1.0" encoding="utf-8"?>
<sst xmlns="http://schemas.openxmlformats.org/spreadsheetml/2006/main" count="251" uniqueCount="192">
  <si>
    <t>Prior year adjustment</t>
  </si>
  <si>
    <t>Opening balance</t>
  </si>
  <si>
    <t>Closing balance</t>
  </si>
  <si>
    <t>Accounting depreciation</t>
  </si>
  <si>
    <t>Tax depreciation recovered</t>
  </si>
  <si>
    <t>Tax depreciation</t>
  </si>
  <si>
    <t>Taxable income (net loss)</t>
  </si>
  <si>
    <t>Legal and consulting fees</t>
  </si>
  <si>
    <t>Imputation credits</t>
  </si>
  <si>
    <t>Loss offset</t>
  </si>
  <si>
    <t>Subvention payment</t>
  </si>
  <si>
    <t>Losses brought forward</t>
  </si>
  <si>
    <t>Tax expense</t>
  </si>
  <si>
    <t>Prior period adjustment</t>
  </si>
  <si>
    <t>Plus (less) tax effect of:</t>
  </si>
  <si>
    <t>Tax losses</t>
  </si>
  <si>
    <t>Deferred tax asset (liability)</t>
  </si>
  <si>
    <t>Deferred tax expense</t>
  </si>
  <si>
    <t>Current tax expense</t>
  </si>
  <si>
    <t>Adjustments to current tax in prior years</t>
  </si>
  <si>
    <t>Temporary</t>
  </si>
  <si>
    <t>Total</t>
  </si>
  <si>
    <t>EXTRACTS FROM THE FINANCIAL STATEMENTS</t>
  </si>
  <si>
    <t>Net surplus before tax</t>
  </si>
  <si>
    <t>Tax payable</t>
  </si>
  <si>
    <t>Deferred tax liability</t>
  </si>
  <si>
    <t>Land</t>
  </si>
  <si>
    <t>Buildings</t>
  </si>
  <si>
    <t>Plant and equipment</t>
  </si>
  <si>
    <t>Vehicles</t>
  </si>
  <si>
    <t>Accounting loss on sale</t>
  </si>
  <si>
    <t>Provision balances (closing)</t>
  </si>
  <si>
    <t xml:space="preserve"> - Doubtful debts</t>
  </si>
  <si>
    <t>Tax loss on sale</t>
  </si>
  <si>
    <t>Provision balances (opening)</t>
  </si>
  <si>
    <t>Capitalised interest</t>
  </si>
  <si>
    <t>Tax on income</t>
  </si>
  <si>
    <t>DEFERRED TAX CALCULATION</t>
  </si>
  <si>
    <t>Difference</t>
  </si>
  <si>
    <t>Capital gain</t>
  </si>
  <si>
    <t>Non-deductible expenditure</t>
  </si>
  <si>
    <t>Non-taxable income</t>
  </si>
  <si>
    <t>Deferred tax</t>
  </si>
  <si>
    <t>Other</t>
  </si>
  <si>
    <t>Employee</t>
  </si>
  <si>
    <t>entitlements</t>
  </si>
  <si>
    <t>provisions</t>
  </si>
  <si>
    <t>Deferred tax adjustment</t>
  </si>
  <si>
    <t>Less land revaluation</t>
  </si>
  <si>
    <t>RWT</t>
  </si>
  <si>
    <t>Prior year subvention payment</t>
  </si>
  <si>
    <t>Current year tax liability</t>
  </si>
  <si>
    <t>Use of money interest</t>
  </si>
  <si>
    <t>Terminal tax paid</t>
  </si>
  <si>
    <t>Tax refunded</t>
  </si>
  <si>
    <t>Transfers</t>
  </si>
  <si>
    <t>Charged to other comprehensive income</t>
  </si>
  <si>
    <t>Charged to surplus or deficit</t>
  </si>
  <si>
    <t>Tax on revaluation</t>
  </si>
  <si>
    <t>Goodwill</t>
  </si>
  <si>
    <t>Tax liability</t>
  </si>
  <si>
    <t>FIXED ASSETS AND DEPRECIATION</t>
  </si>
  <si>
    <t>Opening</t>
  </si>
  <si>
    <t>Additions</t>
  </si>
  <si>
    <t>Closing</t>
  </si>
  <si>
    <t>Book Value</t>
  </si>
  <si>
    <t>Components of tax expense</t>
  </si>
  <si>
    <t>Relationship between tax expense and accounting profit</t>
  </si>
  <si>
    <t>INCOME STATEMENT</t>
  </si>
  <si>
    <t>BALANCE SHEET</t>
  </si>
  <si>
    <t>STATEMENT OF CASH FLOWS</t>
  </si>
  <si>
    <t xml:space="preserve"> - Annual leave</t>
  </si>
  <si>
    <t>Property, plant and equipment</t>
  </si>
  <si>
    <t>Intangible assets</t>
  </si>
  <si>
    <t>Deferred tax movement</t>
  </si>
  <si>
    <t>Add</t>
  </si>
  <si>
    <t>Deduct</t>
  </si>
  <si>
    <t>Tax receivable (payable)</t>
  </si>
  <si>
    <t>Imputation credits attached to dividends received</t>
  </si>
  <si>
    <t>Asset impairment or write off</t>
  </si>
  <si>
    <t>Expensed assets</t>
  </si>
  <si>
    <t xml:space="preserve"> - Other leave</t>
  </si>
  <si>
    <t xml:space="preserve"> - Bonuses</t>
  </si>
  <si>
    <t xml:space="preserve"> - ACC levy</t>
  </si>
  <si>
    <t>Accounting gain on sale</t>
  </si>
  <si>
    <t>Exempt dividends</t>
  </si>
  <si>
    <t>Employee entitlements</t>
  </si>
  <si>
    <t>Impairment of goodwill</t>
  </si>
  <si>
    <t>Hedge gain (loss)</t>
  </si>
  <si>
    <t>Adjustment for change in tax rates</t>
  </si>
  <si>
    <t>Revaluation gain</t>
  </si>
  <si>
    <t>CURRENT TAX CALCULATION</t>
  </si>
  <si>
    <t>Annual leave</t>
  </si>
  <si>
    <t>Recognised temporary differences</t>
  </si>
  <si>
    <t>Prior year</t>
  </si>
  <si>
    <t>Adjustment to current tax in earlier periods</t>
  </si>
  <si>
    <t>Excess imputation credits</t>
  </si>
  <si>
    <t>Net loss</t>
  </si>
  <si>
    <t>Excess imputation credits converted to losses</t>
  </si>
  <si>
    <t>Tax losses to carry forward</t>
  </si>
  <si>
    <t>Capital contributions/vested assets</t>
  </si>
  <si>
    <t>Assets held for sale</t>
  </si>
  <si>
    <t>Investment properties</t>
  </si>
  <si>
    <t>Carrying</t>
  </si>
  <si>
    <t>Tax</t>
  </si>
  <si>
    <t>Amount</t>
  </si>
  <si>
    <t>Base</t>
  </si>
  <si>
    <t>Rate</t>
  </si>
  <si>
    <t>Effect</t>
  </si>
  <si>
    <t>Add (deduct)</t>
  </si>
  <si>
    <t xml:space="preserve">Capital work in progress </t>
  </si>
  <si>
    <t>Other assets</t>
  </si>
  <si>
    <t xml:space="preserve">Other leave </t>
  </si>
  <si>
    <t>Bonuses</t>
  </si>
  <si>
    <t>Other provisions and adjustments</t>
  </si>
  <si>
    <t xml:space="preserve">Doubtful debts </t>
  </si>
  <si>
    <t xml:space="preserve">ACC levy </t>
  </si>
  <si>
    <t>Total temporary differences</t>
  </si>
  <si>
    <t>Less unrecognised temporary differences</t>
  </si>
  <si>
    <t>Tax losses carried forward</t>
  </si>
  <si>
    <t>Less unrecognised tax losses</t>
  </si>
  <si>
    <t>Recognised tax losses</t>
  </si>
  <si>
    <t>Net income (loss)</t>
  </si>
  <si>
    <t>Other comprehensive income</t>
  </si>
  <si>
    <t>Current liabilities</t>
  </si>
  <si>
    <t>Non-current liabilities</t>
  </si>
  <si>
    <t>Non-current assets</t>
  </si>
  <si>
    <t>Income tax paid</t>
  </si>
  <si>
    <t>NOTES TO THE FINANCIAL STATEMENTS</t>
  </si>
  <si>
    <t>Other leave</t>
  </si>
  <si>
    <t>Current year</t>
  </si>
  <si>
    <t>provision</t>
  </si>
  <si>
    <t>return</t>
  </si>
  <si>
    <t>Asset revaluation gain</t>
  </si>
  <si>
    <t>Net surplus after tax</t>
  </si>
  <si>
    <t>Entertainment expenditure</t>
  </si>
  <si>
    <t>Imputation credit adjustment</t>
  </si>
  <si>
    <t>Debtors</t>
  </si>
  <si>
    <t>Provision for impairment</t>
  </si>
  <si>
    <t>Computer software</t>
  </si>
  <si>
    <t>Depreciation and amortisation</t>
  </si>
  <si>
    <t>INCOME TAX</t>
  </si>
  <si>
    <t>Unrecognised temporary differences</t>
  </si>
  <si>
    <t>Unrecognised tax losses</t>
  </si>
  <si>
    <t>Depreciation</t>
  </si>
  <si>
    <t>Revaluations</t>
  </si>
  <si>
    <t>Disposals</t>
  </si>
  <si>
    <t>Property, plant</t>
  </si>
  <si>
    <t>and equipment</t>
  </si>
  <si>
    <t>Tax receivable</t>
  </si>
  <si>
    <t>(payable)</t>
  </si>
  <si>
    <t>asset (liability)</t>
  </si>
  <si>
    <t>Tax on other</t>
  </si>
  <si>
    <t>comp income</t>
  </si>
  <si>
    <t>INCOME TAX BALANCES</t>
  </si>
  <si>
    <t>Tax on other comprehensive income</t>
  </si>
  <si>
    <t>Income tax refunded</t>
  </si>
  <si>
    <t>(provision for current year tax liability)</t>
  </si>
  <si>
    <t>(adjustment to current tax liability in prior year)</t>
  </si>
  <si>
    <t>(deferred tax movement for year)</t>
  </si>
  <si>
    <t>Tax at 28%</t>
  </si>
  <si>
    <t>TE MOTU CONTRACTING LTD</t>
  </si>
  <si>
    <t>Imputation credits available for use in subsequent reporting periods</t>
  </si>
  <si>
    <t>Credits available for use in subsequent periods</t>
  </si>
  <si>
    <t>Tax payable (receivable)</t>
  </si>
  <si>
    <t>Dividends receivable (payable)</t>
  </si>
  <si>
    <t>Provisional tax paid</t>
  </si>
  <si>
    <t>Limited by subvention payment of $22,960 and loss offset of $59,040.</t>
  </si>
  <si>
    <t>KEY TAX BALANCES</t>
  </si>
  <si>
    <t>TAX ACCOUNT SUMMARY</t>
  </si>
  <si>
    <t>IMPUTATION CREDITS</t>
  </si>
  <si>
    <t>TAX JOURNAL ENTRIES</t>
  </si>
  <si>
    <t>ACCOUNTING FIXED ASSETS REGISTER</t>
  </si>
  <si>
    <t>TAX FIXED ASSETS REGISTER</t>
  </si>
  <si>
    <t>Other adjustments</t>
  </si>
  <si>
    <t>TAX ON OTHER COMPREHENSIVE INCOME</t>
  </si>
  <si>
    <t>Deferred tax adjustment for buildings</t>
  </si>
  <si>
    <t>Lease assets (liabilities)</t>
  </si>
  <si>
    <t>Derivative assets (liabilities)</t>
  </si>
  <si>
    <t>Year ended 30 June 2024</t>
  </si>
  <si>
    <t>Increase in deferred tax on buildings</t>
  </si>
  <si>
    <t>INITIAL RECOGNITION EXCEPTION</t>
  </si>
  <si>
    <t>Building fit-out</t>
  </si>
  <si>
    <t>Building structure</t>
  </si>
  <si>
    <t>Building structure assets (post May 2010)</t>
  </si>
  <si>
    <t>Balance at 30 June 2022</t>
  </si>
  <si>
    <t>Balance at 30 June 2023</t>
  </si>
  <si>
    <t>Balance at 30 June 2024</t>
  </si>
  <si>
    <t>The company's tax liability in relation to 2023 was reduced by tax losses of $82,000 transferred from Te Motu Holdings</t>
  </si>
  <si>
    <t>Balance of imputation credit account at 30 June 2024</t>
  </si>
  <si>
    <t>Tax expense for the current year includes an adjustment to increase deferred tax on buildings. This adjustment relates to</t>
  </si>
  <si>
    <t>the removal of tax depreciation on commercial and industrial buildings from the 2024/25 income year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</si>
</sst>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);\(#,##0\)"/>
    <numFmt numFmtId="165" formatCode="#,##0;\(#,##0\)"/>
  </numFmts>
  <fonts count="11" x14ac:knownFonts="1">
    <font>
      <sz val="12"/>
      <name val="Arial"/>
    </font>
    <font>
      <sz val="10"/>
      <name val="Arial"/>
      <family val="2"/>
    </font>
    <font>
      <sz val="12"/>
      <name val="Times New Roman"/>
      <family val="1"/>
    </font>
    <font>
      <sz val="11"/>
      <name val="Tw Cen MT Mi"/>
      <family val="2"/>
    </font>
    <font>
      <b/>
      <sz val="11"/>
      <name val="Tw Cen MT Mi"/>
      <family val="2"/>
    </font>
    <font>
      <b/>
      <sz val="10"/>
      <name val="Tw Cen MT Mi"/>
      <family val="2"/>
    </font>
    <font>
      <sz val="14"/>
      <name val="Tw Cen MT Mi"/>
      <family val="2"/>
    </font>
    <font>
      <b/>
      <sz val="12"/>
      <name val="Tw Cen MT Mi"/>
      <family val="2"/>
    </font>
    <font>
      <sz val="12"/>
      <name val="Tw Cen MT Mi"/>
      <family val="2"/>
    </font>
    <font>
      <sz val="16"/>
      <name val="Tw Cen MT Mi"/>
      <family val="2"/>
    </font>
    <font>
      <sz val="10"/>
      <name val="Tw Cen MT M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5" fontId="2" fillId="0" borderId="0">
      <alignment vertical="top"/>
    </xf>
    <xf numFmtId="43" fontId="1" fillId="0" borderId="0" applyFont="0" applyFill="0" applyBorder="0" applyAlignment="0" applyProtection="0"/>
    <xf numFmtId="165" fontId="10" fillId="0" borderId="0">
      <alignment vertical="top"/>
    </xf>
  </cellStyleXfs>
  <cellXfs count="24">
    <xf numFmtId="0" fontId="0" fillId="0" borderId="0" xfId="0"/>
    <xf numFmtId="165" fontId="3" fillId="0" borderId="0" xfId="1" applyFont="1" applyAlignment="1">
      <alignment vertical="top"/>
    </xf>
    <xf numFmtId="165" fontId="4" fillId="0" borderId="0" xfId="1" applyFont="1">
      <alignment vertical="top"/>
    </xf>
    <xf numFmtId="165" fontId="3" fillId="0" borderId="0" xfId="1" applyFont="1">
      <alignment vertical="top"/>
    </xf>
    <xf numFmtId="0" fontId="4" fillId="0" borderId="0" xfId="2" applyNumberFormat="1" applyFont="1" applyAlignment="1">
      <alignment vertical="top"/>
    </xf>
    <xf numFmtId="165" fontId="4" fillId="0" borderId="0" xfId="1" applyFont="1" applyAlignment="1">
      <alignment vertical="top"/>
    </xf>
    <xf numFmtId="164" fontId="3" fillId="0" borderId="0" xfId="0" applyNumberFormat="1" applyFont="1" applyFill="1" applyBorder="1" applyProtection="1"/>
    <xf numFmtId="164" fontId="3" fillId="0" borderId="1" xfId="0" applyNumberFormat="1" applyFont="1" applyFill="1" applyBorder="1" applyProtection="1"/>
    <xf numFmtId="164" fontId="3" fillId="0" borderId="2" xfId="0" applyNumberFormat="1" applyFont="1" applyFill="1" applyBorder="1" applyProtection="1"/>
    <xf numFmtId="165" fontId="5" fillId="0" borderId="0" xfId="1" applyFont="1" applyAlignment="1">
      <alignment horizontal="center" vertical="top"/>
    </xf>
    <xf numFmtId="164" fontId="3" fillId="0" borderId="3" xfId="0" applyNumberFormat="1" applyFont="1" applyFill="1" applyBorder="1" applyProtection="1"/>
    <xf numFmtId="164" fontId="3" fillId="0" borderId="0" xfId="0" applyNumberFormat="1" applyFont="1" applyFill="1" applyProtection="1"/>
    <xf numFmtId="165" fontId="3" fillId="0" borderId="0" xfId="1" applyFont="1" applyBorder="1" applyAlignment="1">
      <alignment vertical="top"/>
    </xf>
    <xf numFmtId="165" fontId="4" fillId="0" borderId="0" xfId="1" applyFont="1" applyAlignment="1">
      <alignment horizontal="center" vertical="top"/>
    </xf>
    <xf numFmtId="165" fontId="6" fillId="0" borderId="0" xfId="1" applyFont="1">
      <alignment vertical="top"/>
    </xf>
    <xf numFmtId="0" fontId="4" fillId="0" borderId="0" xfId="2" applyNumberFormat="1" applyFont="1" applyAlignment="1">
      <alignment horizontal="center" vertical="top"/>
    </xf>
    <xf numFmtId="0" fontId="3" fillId="0" borderId="0" xfId="2" applyNumberFormat="1" applyFont="1" applyAlignment="1">
      <alignment horizontal="center" vertical="top"/>
    </xf>
    <xf numFmtId="0" fontId="7" fillId="0" borderId="0" xfId="2" applyNumberFormat="1" applyFont="1" applyAlignment="1">
      <alignment horizontal="center" vertical="top"/>
    </xf>
    <xf numFmtId="0" fontId="8" fillId="0" borderId="0" xfId="2" applyNumberFormat="1" applyFont="1" applyAlignment="1">
      <alignment vertical="top"/>
    </xf>
    <xf numFmtId="9" fontId="3" fillId="0" borderId="0" xfId="0" applyNumberFormat="1" applyFont="1" applyFill="1" applyBorder="1" applyProtection="1"/>
    <xf numFmtId="165" fontId="9" fillId="0" borderId="0" xfId="1" applyFont="1">
      <alignment vertical="top"/>
    </xf>
    <xf numFmtId="165" fontId="9" fillId="0" borderId="0" xfId="1" applyFont="1" applyAlignment="1">
      <alignment vertical="top"/>
    </xf>
    <xf numFmtId="164" fontId="3" fillId="0" borderId="4" xfId="0" applyNumberFormat="1" applyFont="1" applyFill="1" applyBorder="1" applyProtection="1"/>
    <xf numFmtId="165" fontId="6" fillId="0" borderId="0" xfId="1" applyFont="1" applyAlignment="1">
      <alignment vertical="top"/>
    </xf>
  </cellXfs>
  <cellStyles count="4">
    <cellStyle name="Audit NZ" xfId="1" xr:uid="{00000000-0005-0000-0000-000000000000}"/>
    <cellStyle name="Audit NZ 2" xfId="3" xr:uid="{00000000-0005-0000-0000-000001000000}"/>
    <cellStyle name="Comma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6" width="7.109375" style="1"/>
    <col min="7" max="7" width="10.33203125" style="1" customWidth="1"/>
    <col min="8" max="9" width="10.77734375" style="1" customWidth="1"/>
    <col min="10" max="16384" width="7.109375" style="1"/>
  </cols>
  <sheetData>
    <row r="1" spans="1:9" ht="21" customHeight="1" x14ac:dyDescent="0.2">
      <c r="A1" s="20" t="s">
        <v>161</v>
      </c>
      <c r="I1" s="23"/>
    </row>
    <row r="2" spans="1:9" ht="18" customHeight="1" x14ac:dyDescent="0.2">
      <c r="A2" s="14" t="s">
        <v>22</v>
      </c>
    </row>
    <row r="3" spans="1:9" ht="18" customHeight="1" x14ac:dyDescent="0.2">
      <c r="A3" s="14" t="s">
        <v>179</v>
      </c>
    </row>
    <row r="4" spans="1:9" ht="15.75" customHeight="1" x14ac:dyDescent="0.2">
      <c r="A4" s="3"/>
    </row>
    <row r="5" spans="1:9" ht="15.75" customHeight="1" x14ac:dyDescent="0.2">
      <c r="H5" s="4">
        <v>2024</v>
      </c>
      <c r="I5" s="4">
        <v>2023</v>
      </c>
    </row>
    <row r="6" spans="1:9" ht="15.75" customHeight="1" x14ac:dyDescent="0.2">
      <c r="A6" s="5" t="s">
        <v>68</v>
      </c>
    </row>
    <row r="8" spans="1:9" ht="15.75" customHeight="1" x14ac:dyDescent="0.2">
      <c r="A8" s="1" t="s">
        <v>23</v>
      </c>
      <c r="H8" s="6">
        <v>401500</v>
      </c>
      <c r="I8" s="6">
        <v>775827</v>
      </c>
    </row>
    <row r="9" spans="1:9" ht="15.75" customHeight="1" x14ac:dyDescent="0.2">
      <c r="A9" s="1" t="s">
        <v>12</v>
      </c>
      <c r="H9" s="7">
        <f>'Tax Note'!G13</f>
        <v>254849.07400000008</v>
      </c>
      <c r="I9" s="7">
        <f>'Tax Note'!H13</f>
        <v>250505.76</v>
      </c>
    </row>
    <row r="10" spans="1:9" ht="15.75" customHeight="1" x14ac:dyDescent="0.2">
      <c r="A10" s="1" t="s">
        <v>134</v>
      </c>
      <c r="H10" s="6">
        <f>H8-H9</f>
        <v>146650.92599999992</v>
      </c>
      <c r="I10" s="6">
        <f>I8-I9</f>
        <v>525321.24</v>
      </c>
    </row>
    <row r="11" spans="1:9" ht="15.75" customHeight="1" x14ac:dyDescent="0.2">
      <c r="H11" s="6"/>
      <c r="I11" s="6"/>
    </row>
    <row r="12" spans="1:9" ht="15.75" customHeight="1" x14ac:dyDescent="0.2">
      <c r="A12" s="5" t="s">
        <v>123</v>
      </c>
      <c r="H12" s="6"/>
      <c r="I12" s="6"/>
    </row>
    <row r="13" spans="1:9" ht="15.75" customHeight="1" x14ac:dyDescent="0.2">
      <c r="A13" s="1" t="s">
        <v>133</v>
      </c>
      <c r="H13" s="6">
        <f>FAR!D17</f>
        <v>851000</v>
      </c>
      <c r="I13" s="6">
        <v>0</v>
      </c>
    </row>
    <row r="14" spans="1:9" ht="15.75" customHeight="1" x14ac:dyDescent="0.2">
      <c r="A14" s="1" t="s">
        <v>58</v>
      </c>
      <c r="H14" s="6">
        <f>'Tax Note'!H42</f>
        <v>-126280.00000000001</v>
      </c>
      <c r="I14" s="6">
        <v>0</v>
      </c>
    </row>
    <row r="15" spans="1:9" ht="15.75" customHeight="1" x14ac:dyDescent="0.2">
      <c r="H15" s="6"/>
      <c r="I15" s="6"/>
    </row>
    <row r="16" spans="1:9" ht="15.75" customHeight="1" x14ac:dyDescent="0.2">
      <c r="A16" s="5" t="s">
        <v>69</v>
      </c>
      <c r="H16" s="6"/>
      <c r="I16" s="6"/>
    </row>
    <row r="17" spans="1:9" ht="15.75" customHeight="1" x14ac:dyDescent="0.2">
      <c r="A17" s="5"/>
      <c r="H17" s="6"/>
      <c r="I17" s="6"/>
    </row>
    <row r="18" spans="1:9" ht="15.75" customHeight="1" x14ac:dyDescent="0.2">
      <c r="A18" s="5" t="s">
        <v>126</v>
      </c>
      <c r="H18" s="6"/>
      <c r="I18" s="6"/>
    </row>
    <row r="19" spans="1:9" ht="15.75" customHeight="1" x14ac:dyDescent="0.2">
      <c r="A19" s="1" t="s">
        <v>72</v>
      </c>
      <c r="H19" s="6">
        <f>FAR!H17</f>
        <v>7106177.25</v>
      </c>
      <c r="I19" s="6">
        <f>FAR!C17</f>
        <v>6772833</v>
      </c>
    </row>
    <row r="20" spans="1:9" ht="15.75" customHeight="1" x14ac:dyDescent="0.2">
      <c r="A20" s="1" t="s">
        <v>73</v>
      </c>
      <c r="H20" s="6">
        <f>H43</f>
        <v>498000</v>
      </c>
      <c r="I20" s="6">
        <f>I43</f>
        <v>530000</v>
      </c>
    </row>
    <row r="21" spans="1:9" ht="15.75" customHeight="1" x14ac:dyDescent="0.2">
      <c r="H21" s="6"/>
      <c r="I21" s="6"/>
    </row>
    <row r="22" spans="1:9" ht="15.75" customHeight="1" x14ac:dyDescent="0.2">
      <c r="A22" s="5" t="s">
        <v>124</v>
      </c>
      <c r="H22" s="6"/>
      <c r="I22" s="6"/>
    </row>
    <row r="23" spans="1:9" ht="15.75" customHeight="1" x14ac:dyDescent="0.2">
      <c r="A23" s="1" t="s">
        <v>24</v>
      </c>
      <c r="H23" s="6">
        <f>-'Tax Balances'!E38</f>
        <v>32368.87400000004</v>
      </c>
      <c r="I23" s="6">
        <v>82804</v>
      </c>
    </row>
    <row r="24" spans="1:9" ht="15.75" customHeight="1" x14ac:dyDescent="0.2">
      <c r="H24" s="6"/>
      <c r="I24" s="6"/>
    </row>
    <row r="25" spans="1:9" ht="15.75" customHeight="1" x14ac:dyDescent="0.2">
      <c r="A25" s="5" t="s">
        <v>125</v>
      </c>
      <c r="H25" s="6"/>
      <c r="I25" s="6"/>
    </row>
    <row r="26" spans="1:9" ht="15.75" customHeight="1" x14ac:dyDescent="0.2">
      <c r="A26" s="1" t="s">
        <v>25</v>
      </c>
      <c r="H26" s="6">
        <f>-'Tax Note'!H43</f>
        <v>248033</v>
      </c>
      <c r="I26" s="6">
        <f>-'Tax Note'!H40</f>
        <v>20148.800000000003</v>
      </c>
    </row>
    <row r="27" spans="1:9" ht="15.75" customHeight="1" x14ac:dyDescent="0.2">
      <c r="H27" s="6"/>
      <c r="I27" s="6"/>
    </row>
    <row r="28" spans="1:9" ht="15.75" customHeight="1" x14ac:dyDescent="0.2">
      <c r="A28" s="5" t="s">
        <v>70</v>
      </c>
      <c r="H28" s="6"/>
      <c r="I28" s="6"/>
    </row>
    <row r="29" spans="1:9" ht="15.75" customHeight="1" x14ac:dyDescent="0.2">
      <c r="H29" s="6"/>
      <c r="I29" s="6"/>
    </row>
    <row r="30" spans="1:9" ht="15.75" customHeight="1" x14ac:dyDescent="0.2">
      <c r="A30" s="1" t="s">
        <v>156</v>
      </c>
      <c r="H30" s="6">
        <f>-'Tax Balances'!E34</f>
        <v>19280</v>
      </c>
      <c r="I30" s="6">
        <v>0</v>
      </c>
    </row>
    <row r="31" spans="1:9" ht="15.75" customHeight="1" x14ac:dyDescent="0.2">
      <c r="A31" s="1" t="s">
        <v>127</v>
      </c>
      <c r="H31" s="6">
        <f>-SUM('Tax Balances'!E31:E33)</f>
        <v>-200000</v>
      </c>
      <c r="I31" s="6">
        <v>-170000</v>
      </c>
    </row>
    <row r="32" spans="1:9" ht="15.75" customHeight="1" x14ac:dyDescent="0.2">
      <c r="H32" s="6"/>
      <c r="I32" s="6"/>
    </row>
    <row r="33" spans="1:9" ht="15.75" customHeight="1" x14ac:dyDescent="0.2">
      <c r="A33" s="5" t="s">
        <v>128</v>
      </c>
      <c r="H33" s="6"/>
      <c r="I33" s="6"/>
    </row>
    <row r="34" spans="1:9" ht="15.75" customHeight="1" x14ac:dyDescent="0.2">
      <c r="A34" s="5"/>
      <c r="H34" s="6"/>
      <c r="I34" s="6"/>
    </row>
    <row r="35" spans="1:9" ht="15.75" customHeight="1" x14ac:dyDescent="0.2">
      <c r="A35" s="1" t="s">
        <v>140</v>
      </c>
      <c r="H35" s="6">
        <f>'Current Tax Calc'!F16</f>
        <v>1079555.75</v>
      </c>
      <c r="I35" s="6">
        <f>'Current Tax Calc'!H16</f>
        <v>1063380</v>
      </c>
    </row>
    <row r="36" spans="1:9" ht="15.75" customHeight="1" x14ac:dyDescent="0.2">
      <c r="H36" s="6"/>
      <c r="I36" s="6"/>
    </row>
    <row r="37" spans="1:9" ht="15.75" customHeight="1" x14ac:dyDescent="0.2">
      <c r="A37" s="5" t="s">
        <v>137</v>
      </c>
      <c r="H37" s="6"/>
      <c r="I37" s="6"/>
    </row>
    <row r="38" spans="1:9" ht="15.75" customHeight="1" x14ac:dyDescent="0.2">
      <c r="A38" s="1" t="s">
        <v>138</v>
      </c>
      <c r="H38" s="6">
        <v>107000</v>
      </c>
      <c r="I38" s="6">
        <v>65000</v>
      </c>
    </row>
    <row r="39" spans="1:9" ht="15.75" customHeight="1" x14ac:dyDescent="0.2">
      <c r="H39" s="6"/>
      <c r="I39" s="6"/>
    </row>
    <row r="40" spans="1:9" ht="15.75" customHeight="1" x14ac:dyDescent="0.2">
      <c r="A40" s="5" t="s">
        <v>73</v>
      </c>
      <c r="H40" s="6"/>
      <c r="I40" s="6"/>
    </row>
    <row r="41" spans="1:9" ht="15.75" customHeight="1" x14ac:dyDescent="0.2">
      <c r="A41" s="1" t="s">
        <v>139</v>
      </c>
      <c r="H41" s="6">
        <f>FAR!H19</f>
        <v>148000</v>
      </c>
      <c r="I41" s="6">
        <f>FAR!C19</f>
        <v>180000</v>
      </c>
    </row>
    <row r="42" spans="1:9" ht="15.75" customHeight="1" x14ac:dyDescent="0.2">
      <c r="A42" s="1" t="s">
        <v>59</v>
      </c>
      <c r="H42" s="7">
        <f>I42</f>
        <v>350000</v>
      </c>
      <c r="I42" s="7">
        <v>350000</v>
      </c>
    </row>
    <row r="43" spans="1:9" ht="15.75" customHeight="1" x14ac:dyDescent="0.2">
      <c r="H43" s="6">
        <f>SUM(H41:H42)</f>
        <v>498000</v>
      </c>
      <c r="I43" s="6">
        <f>SUM(I41:I42)</f>
        <v>530000</v>
      </c>
    </row>
    <row r="44" spans="1:9" ht="15.75" customHeight="1" x14ac:dyDescent="0.2">
      <c r="H44" s="6"/>
      <c r="I44" s="6"/>
    </row>
    <row r="45" spans="1:9" ht="15.75" customHeight="1" x14ac:dyDescent="0.2">
      <c r="A45" s="5" t="s">
        <v>86</v>
      </c>
      <c r="H45" s="6"/>
      <c r="I45" s="6"/>
    </row>
    <row r="46" spans="1:9" ht="15.75" customHeight="1" x14ac:dyDescent="0.2">
      <c r="A46" s="1" t="s">
        <v>92</v>
      </c>
      <c r="H46" s="6">
        <v>395000</v>
      </c>
      <c r="I46" s="6">
        <v>350600</v>
      </c>
    </row>
    <row r="47" spans="1:9" ht="15.75" customHeight="1" x14ac:dyDescent="0.2">
      <c r="A47" s="1" t="s">
        <v>129</v>
      </c>
      <c r="H47" s="6">
        <v>30500</v>
      </c>
      <c r="I47" s="6">
        <v>25500</v>
      </c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&amp;L&amp;"Times New Roman,Regular"&amp;8&amp;F</oddFooter>
  </headerFooter>
  <ignoredErrors>
    <ignoredError sqref="H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2" width="7.109375" style="1"/>
    <col min="3" max="3" width="16.77734375" style="1" customWidth="1"/>
    <col min="4" max="8" width="10.77734375" style="1" customWidth="1"/>
    <col min="9" max="9" width="9.77734375" style="1" customWidth="1"/>
    <col min="10" max="16384" width="7.109375" style="1"/>
  </cols>
  <sheetData>
    <row r="1" spans="1:8" ht="21" customHeight="1" x14ac:dyDescent="0.2">
      <c r="A1" s="20" t="str">
        <f>'Financial Statements'!A1</f>
        <v>TE MOTU CONTRACTING LTD</v>
      </c>
    </row>
    <row r="2" spans="1:8" ht="18" customHeight="1" x14ac:dyDescent="0.2">
      <c r="A2" s="14" t="s">
        <v>22</v>
      </c>
    </row>
    <row r="3" spans="1:8" ht="18" customHeight="1" x14ac:dyDescent="0.2">
      <c r="A3" s="14" t="str">
        <f>'Financial Statements'!A3</f>
        <v>Year ended 30 June 2024</v>
      </c>
    </row>
    <row r="4" spans="1:8" ht="15.75" customHeight="1" x14ac:dyDescent="0.2">
      <c r="A4" s="3"/>
    </row>
    <row r="5" spans="1:8" ht="15.75" customHeight="1" x14ac:dyDescent="0.2">
      <c r="A5" s="3"/>
      <c r="G5" s="4">
        <f>'Financial Statements'!H5</f>
        <v>2024</v>
      </c>
      <c r="H5" s="4">
        <f>'Financial Statements'!I5</f>
        <v>2023</v>
      </c>
    </row>
    <row r="6" spans="1:8" ht="15.75" customHeight="1" x14ac:dyDescent="0.2">
      <c r="A6" s="5" t="s">
        <v>141</v>
      </c>
      <c r="G6" s="6"/>
      <c r="H6" s="6"/>
    </row>
    <row r="7" spans="1:8" ht="15.75" customHeight="1" x14ac:dyDescent="0.2">
      <c r="A7" s="5"/>
      <c r="G7" s="6"/>
      <c r="H7" s="6"/>
    </row>
    <row r="8" spans="1:8" ht="15.75" customHeight="1" x14ac:dyDescent="0.2">
      <c r="A8" s="5" t="s">
        <v>66</v>
      </c>
      <c r="G8" s="6"/>
      <c r="H8" s="6"/>
    </row>
    <row r="9" spans="1:8" ht="15.75" customHeight="1" x14ac:dyDescent="0.2">
      <c r="A9" s="1" t="s">
        <v>18</v>
      </c>
      <c r="G9" s="6">
        <f>'Tax Balances'!G26</f>
        <v>162372.31400000004</v>
      </c>
      <c r="H9" s="6">
        <f>'Current Tax Calc'!I52</f>
        <v>223105.96000000002</v>
      </c>
    </row>
    <row r="10" spans="1:8" ht="15.75" customHeight="1" x14ac:dyDescent="0.2">
      <c r="A10" s="1" t="s">
        <v>19</v>
      </c>
      <c r="G10" s="6">
        <f>'Tax Balances'!G23</f>
        <v>-9127.4399999999987</v>
      </c>
      <c r="H10" s="6">
        <v>17966</v>
      </c>
    </row>
    <row r="11" spans="1:8" ht="15.75" customHeight="1" x14ac:dyDescent="0.2">
      <c r="A11" s="1" t="s">
        <v>176</v>
      </c>
      <c r="G11" s="6">
        <v>147000</v>
      </c>
      <c r="H11" s="6">
        <v>0</v>
      </c>
    </row>
    <row r="12" spans="1:8" ht="15.75" customHeight="1" x14ac:dyDescent="0.2">
      <c r="A12" s="1" t="s">
        <v>17</v>
      </c>
      <c r="G12" s="6">
        <f>-H41-G11</f>
        <v>-45395.8</v>
      </c>
      <c r="H12" s="6">
        <f>-H38-H11</f>
        <v>9433.8000000000029</v>
      </c>
    </row>
    <row r="13" spans="1:8" ht="15.75" customHeight="1" thickBot="1" x14ac:dyDescent="0.25">
      <c r="A13" s="1" t="s">
        <v>12</v>
      </c>
      <c r="G13" s="8">
        <f>SUM(G9:G12)</f>
        <v>254849.07400000008</v>
      </c>
      <c r="H13" s="8">
        <f>SUM(H9:H12)</f>
        <v>250505.76</v>
      </c>
    </row>
    <row r="14" spans="1:8" ht="15.75" customHeight="1" thickTop="1" x14ac:dyDescent="0.2">
      <c r="G14" s="6"/>
      <c r="H14" s="6"/>
    </row>
    <row r="15" spans="1:8" ht="15.75" customHeight="1" x14ac:dyDescent="0.2">
      <c r="G15" s="6"/>
      <c r="H15" s="6"/>
    </row>
    <row r="16" spans="1:8" ht="15.75" customHeight="1" x14ac:dyDescent="0.2">
      <c r="A16" s="5" t="s">
        <v>67</v>
      </c>
      <c r="G16" s="6"/>
      <c r="H16" s="6"/>
    </row>
    <row r="17" spans="1:8" ht="15.75" customHeight="1" x14ac:dyDescent="0.2">
      <c r="A17" s="1" t="s">
        <v>23</v>
      </c>
      <c r="B17" s="12"/>
      <c r="C17" s="12"/>
      <c r="D17" s="12"/>
      <c r="E17" s="12"/>
      <c r="F17" s="12"/>
      <c r="G17" s="6">
        <f>'Financial Statements'!H8</f>
        <v>401500</v>
      </c>
      <c r="H17" s="6">
        <f>'Financial Statements'!I8</f>
        <v>775827</v>
      </c>
    </row>
    <row r="18" spans="1:8" ht="15.75" customHeight="1" x14ac:dyDescent="0.2">
      <c r="B18" s="12"/>
      <c r="C18" s="12"/>
      <c r="D18" s="12"/>
      <c r="E18" s="12"/>
      <c r="F18" s="12"/>
      <c r="G18" s="6"/>
      <c r="H18" s="6"/>
    </row>
    <row r="19" spans="1:8" ht="15.75" customHeight="1" x14ac:dyDescent="0.2">
      <c r="A19" s="1" t="s">
        <v>160</v>
      </c>
      <c r="B19" s="12"/>
      <c r="C19" s="12"/>
      <c r="D19" s="12"/>
      <c r="E19" s="12"/>
      <c r="F19" s="12"/>
      <c r="G19" s="6">
        <f>G17*0.28</f>
        <v>112420.00000000001</v>
      </c>
      <c r="H19" s="6">
        <f>H17*0.28</f>
        <v>217231.56000000003</v>
      </c>
    </row>
    <row r="20" spans="1:8" ht="15.75" customHeight="1" x14ac:dyDescent="0.2">
      <c r="A20" s="1" t="s">
        <v>14</v>
      </c>
      <c r="B20" s="12"/>
      <c r="C20" s="12"/>
      <c r="D20" s="12"/>
      <c r="E20" s="12"/>
      <c r="F20" s="12"/>
      <c r="G20" s="6"/>
      <c r="H20" s="6"/>
    </row>
    <row r="21" spans="1:8" ht="15.75" customHeight="1" x14ac:dyDescent="0.2">
      <c r="A21" s="1" t="s">
        <v>40</v>
      </c>
      <c r="B21" s="12"/>
      <c r="C21" s="12"/>
      <c r="D21" s="12"/>
      <c r="E21" s="12"/>
      <c r="F21" s="12"/>
      <c r="G21" s="6">
        <f>SUM('Current Tax Calc'!F11:F13)*0.28</f>
        <v>4382</v>
      </c>
      <c r="H21" s="6">
        <f>SUM('Current Tax Calc'!I11:I13)*0.3</f>
        <v>12753</v>
      </c>
    </row>
    <row r="22" spans="1:8" ht="15.75" customHeight="1" x14ac:dyDescent="0.2">
      <c r="A22" s="1" t="s">
        <v>136</v>
      </c>
      <c r="B22" s="12"/>
      <c r="C22" s="12"/>
      <c r="D22" s="12"/>
      <c r="E22" s="12"/>
      <c r="F22" s="12"/>
      <c r="G22" s="6">
        <f>('Current Tax Calc'!F14*0.28)+'Current Tax Calc'!F53</f>
        <v>-6999.84</v>
      </c>
      <c r="H22" s="6">
        <f>('Current Tax Calc'!G14*0.3)+'Current Tax Calc'!G53</f>
        <v>0</v>
      </c>
    </row>
    <row r="23" spans="1:8" ht="15.75" customHeight="1" x14ac:dyDescent="0.2">
      <c r="A23" s="1" t="s">
        <v>41</v>
      </c>
      <c r="B23" s="12"/>
      <c r="C23" s="12"/>
      <c r="D23" s="12"/>
      <c r="E23" s="12"/>
      <c r="F23" s="12"/>
      <c r="G23" s="6">
        <f>SUM('Current Tax Calc'!F30:F33)*0.28</f>
        <v>0</v>
      </c>
      <c r="H23" s="6">
        <f>SUM('Current Tax Calc'!I30:I33)*0.3</f>
        <v>-6930</v>
      </c>
    </row>
    <row r="24" spans="1:8" ht="15.75" customHeight="1" x14ac:dyDescent="0.2">
      <c r="A24" s="1" t="s">
        <v>0</v>
      </c>
      <c r="B24" s="12"/>
      <c r="C24" s="12"/>
      <c r="D24" s="12"/>
      <c r="E24" s="12"/>
      <c r="F24" s="12"/>
      <c r="G24" s="6">
        <f>G10</f>
        <v>-9127.4399999999987</v>
      </c>
      <c r="H24" s="6">
        <f>H10</f>
        <v>17966</v>
      </c>
    </row>
    <row r="25" spans="1:8" ht="15.75" customHeight="1" x14ac:dyDescent="0.2">
      <c r="A25" s="1" t="s">
        <v>180</v>
      </c>
      <c r="B25" s="12"/>
      <c r="C25" s="12"/>
      <c r="D25" s="12"/>
      <c r="E25" s="12"/>
      <c r="F25" s="12"/>
      <c r="G25" s="6">
        <f>G11</f>
        <v>147000</v>
      </c>
      <c r="H25" s="6">
        <v>0</v>
      </c>
    </row>
    <row r="26" spans="1:8" ht="15.75" customHeight="1" x14ac:dyDescent="0.2">
      <c r="A26" s="1" t="s">
        <v>47</v>
      </c>
      <c r="B26" s="12"/>
      <c r="C26" s="12"/>
      <c r="D26" s="12"/>
      <c r="E26" s="12"/>
      <c r="F26" s="12"/>
      <c r="G26" s="6">
        <f>G27-SUM(G19:G25)</f>
        <v>7174.3540000000503</v>
      </c>
      <c r="H26" s="6">
        <f>H27-SUM(H19:H25)</f>
        <v>9485.1999999999825</v>
      </c>
    </row>
    <row r="27" spans="1:8" ht="15.75" customHeight="1" thickBot="1" x14ac:dyDescent="0.25">
      <c r="A27" s="1" t="s">
        <v>12</v>
      </c>
      <c r="B27" s="12"/>
      <c r="C27" s="12"/>
      <c r="D27" s="12"/>
      <c r="E27" s="12"/>
      <c r="F27" s="12"/>
      <c r="G27" s="8">
        <f>G13</f>
        <v>254849.07400000008</v>
      </c>
      <c r="H27" s="8">
        <f>H13</f>
        <v>250505.76</v>
      </c>
    </row>
    <row r="28" spans="1:8" ht="15.75" customHeight="1" thickTop="1" x14ac:dyDescent="0.2">
      <c r="B28" s="12"/>
      <c r="C28" s="12"/>
      <c r="D28" s="12"/>
      <c r="E28" s="12"/>
      <c r="F28" s="12"/>
      <c r="G28" s="6"/>
      <c r="H28" s="6"/>
    </row>
    <row r="29" spans="1:8" ht="15.75" customHeight="1" x14ac:dyDescent="0.2">
      <c r="B29" s="12"/>
      <c r="C29" s="12"/>
      <c r="D29" s="12"/>
      <c r="E29" s="12"/>
      <c r="F29" s="12"/>
      <c r="G29" s="6"/>
      <c r="H29" s="6"/>
    </row>
    <row r="30" spans="1:8" ht="15.75" customHeight="1" x14ac:dyDescent="0.2">
      <c r="A30" s="5" t="s">
        <v>8</v>
      </c>
      <c r="B30" s="12"/>
      <c r="C30" s="12"/>
      <c r="D30" s="12"/>
      <c r="E30" s="12"/>
      <c r="F30" s="12"/>
      <c r="G30" s="6"/>
      <c r="H30" s="6"/>
    </row>
    <row r="31" spans="1:8" ht="15.75" customHeight="1" thickBot="1" x14ac:dyDescent="0.25">
      <c r="A31" s="1" t="s">
        <v>162</v>
      </c>
      <c r="B31" s="12"/>
      <c r="C31" s="12"/>
      <c r="D31" s="12"/>
      <c r="E31" s="12"/>
      <c r="F31" s="12"/>
      <c r="G31" s="22">
        <f>'Tax Balances'!F48</f>
        <v>503751.87400000007</v>
      </c>
      <c r="H31" s="22">
        <v>406520</v>
      </c>
    </row>
    <row r="32" spans="1:8" ht="15.75" customHeight="1" thickTop="1" x14ac:dyDescent="0.2">
      <c r="B32" s="12"/>
      <c r="C32" s="12"/>
      <c r="D32" s="12"/>
      <c r="E32" s="12"/>
      <c r="F32" s="12"/>
      <c r="G32" s="6"/>
      <c r="H32" s="6"/>
    </row>
    <row r="34" spans="1:8" ht="15.75" customHeight="1" x14ac:dyDescent="0.2">
      <c r="A34" s="5" t="s">
        <v>16</v>
      </c>
    </row>
    <row r="35" spans="1:8" ht="15.75" customHeight="1" x14ac:dyDescent="0.2">
      <c r="D35" s="9" t="s">
        <v>147</v>
      </c>
      <c r="E35" s="9" t="s">
        <v>44</v>
      </c>
      <c r="F35" s="9" t="s">
        <v>43</v>
      </c>
      <c r="G35" s="9" t="s">
        <v>15</v>
      </c>
      <c r="H35" s="9" t="s">
        <v>21</v>
      </c>
    </row>
    <row r="36" spans="1:8" ht="15.75" customHeight="1" x14ac:dyDescent="0.2">
      <c r="D36" s="9" t="s">
        <v>148</v>
      </c>
      <c r="E36" s="9" t="s">
        <v>45</v>
      </c>
      <c r="F36" s="9" t="s">
        <v>46</v>
      </c>
      <c r="G36" s="9"/>
      <c r="H36" s="9"/>
    </row>
    <row r="37" spans="1:8" ht="15.75" customHeight="1" x14ac:dyDescent="0.2">
      <c r="A37" s="1" t="s">
        <v>185</v>
      </c>
      <c r="D37" s="6">
        <f>-306500+147000</f>
        <v>-159500</v>
      </c>
      <c r="E37" s="6">
        <v>93000</v>
      </c>
      <c r="F37" s="6">
        <v>12300</v>
      </c>
      <c r="G37" s="6">
        <f>-'Current Tax Calc'!I47*0.3</f>
        <v>43485</v>
      </c>
      <c r="H37" s="6">
        <f t="shared" ref="H37:H43" si="0">SUM(D37:G37)</f>
        <v>-10715</v>
      </c>
    </row>
    <row r="38" spans="1:8" ht="15.75" customHeight="1" x14ac:dyDescent="0.2">
      <c r="A38" s="1" t="s">
        <v>57</v>
      </c>
      <c r="D38" s="6">
        <f>D40-D39-D37</f>
        <v>19500</v>
      </c>
      <c r="E38" s="6">
        <f>E40-E39-E37</f>
        <v>2491.1999999999971</v>
      </c>
      <c r="F38" s="6">
        <f>F40-F39-F37</f>
        <v>12060</v>
      </c>
      <c r="G38" s="6">
        <f>G40-G39-G37</f>
        <v>-43485</v>
      </c>
      <c r="H38" s="6">
        <f t="shared" si="0"/>
        <v>-9433.8000000000029</v>
      </c>
    </row>
    <row r="39" spans="1:8" ht="15.75" customHeight="1" x14ac:dyDescent="0.2">
      <c r="A39" s="1" t="s">
        <v>56</v>
      </c>
      <c r="D39" s="7">
        <v>0</v>
      </c>
      <c r="E39" s="7">
        <v>0</v>
      </c>
      <c r="F39" s="7">
        <v>0</v>
      </c>
      <c r="G39" s="7">
        <v>0</v>
      </c>
      <c r="H39" s="7">
        <f t="shared" si="0"/>
        <v>0</v>
      </c>
    </row>
    <row r="40" spans="1:8" ht="15.75" customHeight="1" x14ac:dyDescent="0.2">
      <c r="A40" s="1" t="s">
        <v>186</v>
      </c>
      <c r="D40" s="6">
        <v>-140000</v>
      </c>
      <c r="E40" s="6">
        <v>95491.199999999997</v>
      </c>
      <c r="F40" s="6">
        <v>24360</v>
      </c>
      <c r="G40" s="6">
        <v>0</v>
      </c>
      <c r="H40" s="6">
        <f>SUM(H37:H39)</f>
        <v>-20148.800000000003</v>
      </c>
    </row>
    <row r="41" spans="1:8" ht="15.75" customHeight="1" x14ac:dyDescent="0.2">
      <c r="A41" s="1" t="s">
        <v>57</v>
      </c>
      <c r="D41" s="6">
        <f>D43-D42-D40</f>
        <v>-126793</v>
      </c>
      <c r="E41" s="6">
        <f>E43-E42-E40</f>
        <v>12588.800000000003</v>
      </c>
      <c r="F41" s="6">
        <f>F43-F42-F40</f>
        <v>12600</v>
      </c>
      <c r="G41" s="6">
        <f>G43-G42-G40</f>
        <v>0</v>
      </c>
      <c r="H41" s="6">
        <f t="shared" si="0"/>
        <v>-101604.2</v>
      </c>
    </row>
    <row r="42" spans="1:8" ht="15.75" customHeight="1" x14ac:dyDescent="0.2">
      <c r="A42" s="1" t="s">
        <v>56</v>
      </c>
      <c r="D42" s="6">
        <f>-'Deferred Tax Calc'!H53</f>
        <v>-126280.00000000001</v>
      </c>
      <c r="E42" s="6">
        <v>0</v>
      </c>
      <c r="F42" s="6">
        <v>0</v>
      </c>
      <c r="G42" s="6">
        <v>0</v>
      </c>
      <c r="H42" s="6">
        <f t="shared" si="0"/>
        <v>-126280.00000000001</v>
      </c>
    </row>
    <row r="43" spans="1:8" ht="15.75" customHeight="1" thickBot="1" x14ac:dyDescent="0.25">
      <c r="A43" s="1" t="s">
        <v>187</v>
      </c>
      <c r="D43" s="8">
        <f>'Deferred Tax Calc'!H22</f>
        <v>-393073</v>
      </c>
      <c r="E43" s="8">
        <f>'Deferred Tax Calc'!H32</f>
        <v>108080</v>
      </c>
      <c r="F43" s="8">
        <f>'Deferred Tax Calc'!H37</f>
        <v>36960</v>
      </c>
      <c r="G43" s="8">
        <f>'Deferred Tax Calc'!H44</f>
        <v>0</v>
      </c>
      <c r="H43" s="8">
        <f t="shared" si="0"/>
        <v>-248033</v>
      </c>
    </row>
    <row r="44" spans="1:8" ht="15.75" customHeight="1" thickTop="1" x14ac:dyDescent="0.2"/>
    <row r="46" spans="1:8" ht="15.75" customHeight="1" x14ac:dyDescent="0.2">
      <c r="A46" s="1" t="s">
        <v>190</v>
      </c>
    </row>
    <row r="47" spans="1:8" ht="15.75" customHeight="1" x14ac:dyDescent="0.2">
      <c r="A47" s="1" t="s">
        <v>191</v>
      </c>
    </row>
    <row r="49" spans="1:1" ht="15.75" customHeight="1" x14ac:dyDescent="0.2">
      <c r="A49" s="1" t="s">
        <v>188</v>
      </c>
    </row>
    <row r="50" spans="1:1" ht="15.75" customHeight="1" x14ac:dyDescent="0.2">
      <c r="A50" s="1" t="s">
        <v>167</v>
      </c>
    </row>
  </sheetData>
  <phoneticPr fontId="1" type="noConversion"/>
  <pageMargins left="0.75" right="0.75" top="1" bottom="1" header="0.5" footer="0.5"/>
  <pageSetup paperSize="9" scale="85" orientation="portrait" r:id="rId1"/>
  <headerFooter alignWithMargins="0">
    <oddFooter>&amp;L&amp;"Times New Roman,Regular"&amp;8&amp;F</oddFooter>
  </headerFooter>
  <ignoredErrors>
    <ignoredError sqref="G21" formulaRange="1"/>
    <ignoredError sqref="G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1" width="7.77734375" style="1" customWidth="1"/>
    <col min="2" max="4" width="10.77734375" style="1" customWidth="1"/>
    <col min="5" max="8" width="12.77734375" style="1" customWidth="1"/>
    <col min="9" max="9" width="10.77734375" style="1" customWidth="1"/>
    <col min="10" max="16384" width="7.109375" style="1"/>
  </cols>
  <sheetData>
    <row r="1" spans="1:6" ht="21" customHeight="1" x14ac:dyDescent="0.2">
      <c r="A1" s="21" t="str">
        <f>'Tax Note'!A1</f>
        <v>TE MOTU CONTRACTING LTD</v>
      </c>
    </row>
    <row r="2" spans="1:6" ht="18" customHeight="1" x14ac:dyDescent="0.2">
      <c r="A2" s="14" t="s">
        <v>154</v>
      </c>
    </row>
    <row r="3" spans="1:6" ht="18" customHeight="1" x14ac:dyDescent="0.2">
      <c r="A3" s="14" t="str">
        <f>'Financial Statements'!A3</f>
        <v>Year ended 30 June 2024</v>
      </c>
    </row>
    <row r="4" spans="1:6" ht="15.75" customHeight="1" x14ac:dyDescent="0.2">
      <c r="A4" s="3"/>
    </row>
    <row r="5" spans="1:6" ht="15.75" customHeight="1" x14ac:dyDescent="0.2">
      <c r="A5" s="3"/>
    </row>
    <row r="6" spans="1:6" ht="15.75" customHeight="1" x14ac:dyDescent="0.2">
      <c r="A6" s="2" t="s">
        <v>168</v>
      </c>
    </row>
    <row r="7" spans="1:6" ht="15.75" customHeight="1" x14ac:dyDescent="0.2">
      <c r="A7" s="3"/>
    </row>
    <row r="8" spans="1:6" ht="15.75" customHeight="1" x14ac:dyDescent="0.2">
      <c r="A8" s="3" t="s">
        <v>12</v>
      </c>
      <c r="F8" s="11">
        <f>G38</f>
        <v>254849.07400000002</v>
      </c>
    </row>
    <row r="9" spans="1:6" ht="15.75" customHeight="1" x14ac:dyDescent="0.2">
      <c r="A9" s="3" t="s">
        <v>155</v>
      </c>
      <c r="F9" s="11">
        <f>H38</f>
        <v>126280.00000000001</v>
      </c>
    </row>
    <row r="10" spans="1:6" ht="15.75" customHeight="1" x14ac:dyDescent="0.2">
      <c r="A10" s="3" t="s">
        <v>77</v>
      </c>
      <c r="F10" s="11">
        <f>E38</f>
        <v>-32368.87400000004</v>
      </c>
    </row>
    <row r="11" spans="1:6" ht="15.75" customHeight="1" x14ac:dyDescent="0.2">
      <c r="A11" s="3" t="s">
        <v>16</v>
      </c>
      <c r="F11" s="11">
        <f>F38</f>
        <v>-248033</v>
      </c>
    </row>
    <row r="12" spans="1:6" ht="15.75" customHeight="1" x14ac:dyDescent="0.2">
      <c r="A12" s="3" t="s">
        <v>142</v>
      </c>
      <c r="F12" s="11">
        <f>-'Deferred Tax Calc'!F39</f>
        <v>0</v>
      </c>
    </row>
    <row r="13" spans="1:6" ht="15.75" customHeight="1" x14ac:dyDescent="0.2">
      <c r="A13" s="3" t="s">
        <v>143</v>
      </c>
      <c r="F13" s="11">
        <f>-'Deferred Tax Calc'!F43</f>
        <v>0</v>
      </c>
    </row>
    <row r="14" spans="1:6" ht="15.75" customHeight="1" x14ac:dyDescent="0.2">
      <c r="A14" s="3"/>
    </row>
    <row r="15" spans="1:6" ht="15.75" customHeight="1" x14ac:dyDescent="0.2">
      <c r="A15" s="3"/>
    </row>
    <row r="16" spans="1:6" ht="15.75" customHeight="1" x14ac:dyDescent="0.2">
      <c r="A16" s="3"/>
    </row>
    <row r="17" spans="1:8" ht="15.75" customHeight="1" x14ac:dyDescent="0.2">
      <c r="A17" s="2" t="s">
        <v>169</v>
      </c>
      <c r="D17" s="5"/>
      <c r="E17" s="5"/>
    </row>
    <row r="18" spans="1:8" ht="15.75" customHeight="1" x14ac:dyDescent="0.2">
      <c r="A18" s="14"/>
      <c r="D18" s="5"/>
      <c r="E18" s="15" t="s">
        <v>149</v>
      </c>
      <c r="F18" s="15" t="s">
        <v>42</v>
      </c>
      <c r="G18" s="15" t="s">
        <v>12</v>
      </c>
      <c r="H18" s="15" t="s">
        <v>152</v>
      </c>
    </row>
    <row r="19" spans="1:8" ht="15.75" customHeight="1" x14ac:dyDescent="0.2">
      <c r="A19" s="5"/>
      <c r="E19" s="15" t="s">
        <v>150</v>
      </c>
      <c r="F19" s="15" t="s">
        <v>151</v>
      </c>
      <c r="G19" s="15"/>
      <c r="H19" s="15" t="s">
        <v>153</v>
      </c>
    </row>
    <row r="20" spans="1:8" ht="15.75" customHeight="1" x14ac:dyDescent="0.2">
      <c r="A20" s="5"/>
      <c r="F20" s="16"/>
      <c r="G20" s="15"/>
      <c r="H20" s="15"/>
    </row>
    <row r="21" spans="1:8" ht="15.75" customHeight="1" x14ac:dyDescent="0.2">
      <c r="A21" s="5" t="s">
        <v>1</v>
      </c>
      <c r="E21" s="11">
        <f>-'Financial Statements'!I23</f>
        <v>-82804</v>
      </c>
      <c r="F21" s="11">
        <f>'Tax Note'!H40</f>
        <v>-20148.800000000003</v>
      </c>
      <c r="G21" s="11"/>
      <c r="H21" s="11"/>
    </row>
    <row r="22" spans="1:8" ht="15.75" customHeight="1" x14ac:dyDescent="0.2">
      <c r="A22" s="5"/>
      <c r="E22" s="11"/>
      <c r="F22" s="11"/>
      <c r="G22" s="11"/>
      <c r="H22" s="11"/>
    </row>
    <row r="23" spans="1:8" ht="15.75" customHeight="1" x14ac:dyDescent="0.2">
      <c r="A23" s="1" t="s">
        <v>13</v>
      </c>
      <c r="E23" s="11">
        <f>-'Current Tax Calc'!H55+'Current Tax Calc'!I55+'Current Tax Calc'!H48</f>
        <v>9127.4399999999987</v>
      </c>
      <c r="F23" s="11"/>
      <c r="G23" s="11">
        <f>-E23</f>
        <v>-9127.4399999999987</v>
      </c>
      <c r="H23" s="11"/>
    </row>
    <row r="24" spans="1:8" ht="15.75" customHeight="1" x14ac:dyDescent="0.2">
      <c r="A24" s="1" t="s">
        <v>95</v>
      </c>
      <c r="E24" s="11"/>
      <c r="F24" s="11"/>
      <c r="G24" s="11">
        <f>-E24</f>
        <v>0</v>
      </c>
      <c r="H24" s="11"/>
    </row>
    <row r="25" spans="1:8" ht="15.75" customHeight="1" x14ac:dyDescent="0.2">
      <c r="E25" s="11"/>
      <c r="F25" s="11"/>
      <c r="G25" s="11"/>
      <c r="H25" s="11"/>
    </row>
    <row r="26" spans="1:8" ht="15.75" customHeight="1" x14ac:dyDescent="0.2">
      <c r="A26" s="1" t="s">
        <v>51</v>
      </c>
      <c r="E26" s="11">
        <f>-'Current Tax Calc'!F55</f>
        <v>-162372.31400000004</v>
      </c>
      <c r="F26" s="11"/>
      <c r="G26" s="11">
        <f>-E26</f>
        <v>162372.31400000004</v>
      </c>
      <c r="H26" s="11"/>
    </row>
    <row r="27" spans="1:8" ht="15.75" customHeight="1" x14ac:dyDescent="0.2">
      <c r="A27" s="1" t="s">
        <v>74</v>
      </c>
      <c r="E27" s="11"/>
      <c r="F27" s="11">
        <f>'Deferred Tax Calc'!H46-'Tax Balances'!F21</f>
        <v>-227884.2</v>
      </c>
      <c r="G27" s="11">
        <f>-F27-H27</f>
        <v>101604.2</v>
      </c>
      <c r="H27" s="11">
        <f>'Deferred Tax Calc'!H58</f>
        <v>126280.00000000001</v>
      </c>
    </row>
    <row r="28" spans="1:8" ht="15.75" customHeight="1" x14ac:dyDescent="0.2">
      <c r="E28" s="11"/>
      <c r="F28" s="11"/>
      <c r="G28" s="11"/>
      <c r="H28" s="11"/>
    </row>
    <row r="29" spans="1:8" ht="15.75" customHeight="1" x14ac:dyDescent="0.2">
      <c r="A29" s="1" t="s">
        <v>50</v>
      </c>
      <c r="E29" s="11">
        <f>-'Current Tax Calc'!H48</f>
        <v>22960.000000000004</v>
      </c>
      <c r="F29" s="11"/>
      <c r="G29" s="11"/>
      <c r="H29" s="11"/>
    </row>
    <row r="30" spans="1:8" ht="15.75" customHeight="1" x14ac:dyDescent="0.2">
      <c r="E30" s="11"/>
      <c r="F30" s="11"/>
      <c r="G30" s="11"/>
      <c r="H30" s="11"/>
    </row>
    <row r="31" spans="1:8" ht="15.75" customHeight="1" x14ac:dyDescent="0.2">
      <c r="A31" s="1" t="s">
        <v>166</v>
      </c>
      <c r="E31" s="11">
        <v>200000</v>
      </c>
      <c r="F31" s="11"/>
      <c r="G31" s="11"/>
      <c r="H31" s="11"/>
    </row>
    <row r="32" spans="1:8" ht="15.75" customHeight="1" x14ac:dyDescent="0.2">
      <c r="A32" s="1" t="s">
        <v>53</v>
      </c>
      <c r="E32" s="11"/>
      <c r="F32" s="11"/>
      <c r="G32" s="11"/>
      <c r="H32" s="11"/>
    </row>
    <row r="33" spans="1:8" ht="15.75" customHeight="1" x14ac:dyDescent="0.2">
      <c r="A33" s="1" t="s">
        <v>49</v>
      </c>
      <c r="E33" s="11"/>
      <c r="F33" s="11"/>
      <c r="G33" s="11"/>
      <c r="H33" s="11"/>
    </row>
    <row r="34" spans="1:8" ht="15.75" customHeight="1" x14ac:dyDescent="0.2">
      <c r="A34" s="1" t="s">
        <v>54</v>
      </c>
      <c r="E34" s="11">
        <v>-19280</v>
      </c>
      <c r="F34" s="11"/>
      <c r="G34" s="11"/>
      <c r="H34" s="11"/>
    </row>
    <row r="35" spans="1:8" ht="15.75" customHeight="1" x14ac:dyDescent="0.2">
      <c r="A35" s="1" t="s">
        <v>55</v>
      </c>
      <c r="E35" s="11"/>
      <c r="F35" s="11"/>
      <c r="G35" s="11"/>
      <c r="H35" s="11"/>
    </row>
    <row r="36" spans="1:8" ht="15.75" customHeight="1" x14ac:dyDescent="0.2">
      <c r="A36" s="1" t="s">
        <v>52</v>
      </c>
      <c r="E36" s="11"/>
      <c r="F36" s="11"/>
      <c r="G36" s="11"/>
      <c r="H36" s="11"/>
    </row>
    <row r="38" spans="1:8" ht="15.75" customHeight="1" thickBot="1" x14ac:dyDescent="0.25">
      <c r="A38" s="5" t="s">
        <v>2</v>
      </c>
      <c r="E38" s="8">
        <f>SUM(E21:E36)</f>
        <v>-32368.87400000004</v>
      </c>
      <c r="F38" s="8">
        <f>SUM(F21:F36)</f>
        <v>-248033</v>
      </c>
      <c r="G38" s="8">
        <f>SUM(G21:G36)</f>
        <v>254849.07400000002</v>
      </c>
      <c r="H38" s="8">
        <f>SUM(H21:H36)</f>
        <v>126280.00000000001</v>
      </c>
    </row>
    <row r="39" spans="1:8" ht="15.75" customHeight="1" thickTop="1" x14ac:dyDescent="0.2"/>
    <row r="42" spans="1:8" ht="15.75" customHeight="1" x14ac:dyDescent="0.2">
      <c r="A42" s="2" t="s">
        <v>170</v>
      </c>
    </row>
    <row r="43" spans="1:8" ht="15.75" customHeight="1" x14ac:dyDescent="0.2">
      <c r="F43" s="15"/>
    </row>
    <row r="44" spans="1:8" ht="15.75" customHeight="1" x14ac:dyDescent="0.2">
      <c r="A44" s="1" t="s">
        <v>189</v>
      </c>
      <c r="F44" s="11">
        <v>471383</v>
      </c>
    </row>
    <row r="45" spans="1:8" ht="15.75" customHeight="1" x14ac:dyDescent="0.2">
      <c r="A45" s="1" t="s">
        <v>164</v>
      </c>
      <c r="F45" s="11">
        <f>-E38</f>
        <v>32368.87400000004</v>
      </c>
    </row>
    <row r="46" spans="1:8" ht="15.75" customHeight="1" x14ac:dyDescent="0.2">
      <c r="A46" s="1" t="s">
        <v>165</v>
      </c>
      <c r="F46" s="11">
        <v>0</v>
      </c>
    </row>
    <row r="47" spans="1:8" ht="15.75" customHeight="1" x14ac:dyDescent="0.2">
      <c r="F47" s="11"/>
    </row>
    <row r="48" spans="1:8" ht="15.75" customHeight="1" thickBot="1" x14ac:dyDescent="0.25">
      <c r="A48" s="1" t="s">
        <v>163</v>
      </c>
      <c r="F48" s="8">
        <f>IF(SUM(F44:F47)&gt;0,SUM(F44:F47),0)</f>
        <v>503751.87400000007</v>
      </c>
    </row>
    <row r="49" spans="1:6" ht="15.75" customHeight="1" thickTop="1" x14ac:dyDescent="0.2"/>
    <row r="52" spans="1:6" ht="15.75" customHeight="1" x14ac:dyDescent="0.2">
      <c r="A52" s="2" t="s">
        <v>171</v>
      </c>
      <c r="F52" s="6"/>
    </row>
    <row r="53" spans="1:6" ht="15.75" customHeight="1" x14ac:dyDescent="0.2">
      <c r="A53" s="14"/>
      <c r="F53" s="6"/>
    </row>
    <row r="54" spans="1:6" ht="15.75" customHeight="1" x14ac:dyDescent="0.2">
      <c r="A54" s="1" t="str">
        <f>IF(F54&gt;0,"Dr","Cr")</f>
        <v>Dr</v>
      </c>
      <c r="B54" s="1" t="s">
        <v>12</v>
      </c>
      <c r="F54" s="6">
        <f>G26</f>
        <v>162372.31400000004</v>
      </c>
    </row>
    <row r="55" spans="1:6" ht="15.75" customHeight="1" x14ac:dyDescent="0.2">
      <c r="A55" s="1" t="str">
        <f>IF(F55&gt;0,"Dr","Cr")</f>
        <v>Cr</v>
      </c>
      <c r="B55" s="1" t="s">
        <v>24</v>
      </c>
      <c r="F55" s="6">
        <f>-F54</f>
        <v>-162372.31400000004</v>
      </c>
    </row>
    <row r="56" spans="1:6" ht="15.75" customHeight="1" x14ac:dyDescent="0.2">
      <c r="B56" s="1" t="s">
        <v>157</v>
      </c>
      <c r="F56" s="6"/>
    </row>
    <row r="57" spans="1:6" ht="15.75" customHeight="1" x14ac:dyDescent="0.2">
      <c r="F57" s="6"/>
    </row>
    <row r="58" spans="1:6" ht="15.75" customHeight="1" x14ac:dyDescent="0.2">
      <c r="A58" s="1" t="str">
        <f>IF(F58&gt;0,"Dr","Cr")</f>
        <v>Cr</v>
      </c>
      <c r="B58" s="1" t="s">
        <v>12</v>
      </c>
      <c r="F58" s="6">
        <f>G23</f>
        <v>-9127.4399999999987</v>
      </c>
    </row>
    <row r="59" spans="1:6" ht="15.75" customHeight="1" x14ac:dyDescent="0.2">
      <c r="A59" s="1" t="str">
        <f>IF(F59&gt;0,"Dr","Cr")</f>
        <v>Dr</v>
      </c>
      <c r="B59" s="1" t="s">
        <v>24</v>
      </c>
      <c r="F59" s="6">
        <f>-F58</f>
        <v>9127.4399999999987</v>
      </c>
    </row>
    <row r="60" spans="1:6" ht="15.75" customHeight="1" x14ac:dyDescent="0.2">
      <c r="B60" s="1" t="s">
        <v>158</v>
      </c>
    </row>
    <row r="62" spans="1:6" ht="15.75" customHeight="1" x14ac:dyDescent="0.2">
      <c r="A62" s="1" t="str">
        <f>IF(F62&gt;0,"Dr","Cr")</f>
        <v>Dr</v>
      </c>
      <c r="B62" s="1" t="s">
        <v>12</v>
      </c>
      <c r="F62" s="6">
        <f>G27</f>
        <v>101604.2</v>
      </c>
    </row>
    <row r="63" spans="1:6" ht="15.75" customHeight="1" x14ac:dyDescent="0.2">
      <c r="A63" s="1" t="str">
        <f>IF(F63&gt;0,"Dr","Cr")</f>
        <v>Dr</v>
      </c>
      <c r="B63" s="1" t="s">
        <v>58</v>
      </c>
      <c r="F63" s="6">
        <f>H27</f>
        <v>126280.00000000001</v>
      </c>
    </row>
    <row r="64" spans="1:6" ht="15.75" customHeight="1" x14ac:dyDescent="0.2">
      <c r="A64" s="1" t="str">
        <f>IF(F64&gt;0,"Dr","Cr")</f>
        <v>Cr</v>
      </c>
      <c r="B64" s="1" t="s">
        <v>42</v>
      </c>
      <c r="F64" s="6">
        <f>-F62-F63</f>
        <v>-227884.2</v>
      </c>
    </row>
    <row r="65" spans="2:2" ht="15.75" customHeight="1" x14ac:dyDescent="0.2">
      <c r="B65" s="1" t="s">
        <v>159</v>
      </c>
    </row>
  </sheetData>
  <phoneticPr fontId="1" type="noConversion"/>
  <pageMargins left="0.75" right="0.75" top="1" bottom="1" header="0.5" footer="0.5"/>
  <pageSetup paperSize="9" scale="67" orientation="portrait" r:id="rId1"/>
  <headerFooter alignWithMargins="0">
    <oddFooter>&amp;L&amp;"Times New Roman,Regular"&amp;8&amp;F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1"/>
  <sheetViews>
    <sheetView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3" width="7.109375" style="1"/>
    <col min="4" max="4" width="11.6640625" style="1" customWidth="1"/>
    <col min="5" max="5" width="10.77734375" style="1" customWidth="1"/>
    <col min="6" max="6" width="12.77734375" style="1" customWidth="1"/>
    <col min="7" max="7" width="3.77734375" style="1" customWidth="1"/>
    <col min="8" max="10" width="12.77734375" style="1" customWidth="1"/>
    <col min="11" max="16384" width="7.109375" style="1"/>
  </cols>
  <sheetData>
    <row r="1" spans="1:10" ht="21" customHeight="1" x14ac:dyDescent="0.2">
      <c r="A1" s="21" t="str">
        <f>'Tax Note'!A1</f>
        <v>TE MOTU CONTRACTING LTD</v>
      </c>
    </row>
    <row r="2" spans="1:10" ht="18" customHeight="1" x14ac:dyDescent="0.2">
      <c r="A2" s="14" t="s">
        <v>91</v>
      </c>
    </row>
    <row r="3" spans="1:10" ht="18" customHeight="1" x14ac:dyDescent="0.2">
      <c r="A3" s="14" t="str">
        <f>'Financial Statements'!A3</f>
        <v>Year ended 30 June 2024</v>
      </c>
    </row>
    <row r="4" spans="1:10" ht="15.75" customHeight="1" x14ac:dyDescent="0.2">
      <c r="A4" s="14"/>
    </row>
    <row r="5" spans="1:10" ht="15.75" customHeight="1" x14ac:dyDescent="0.2">
      <c r="A5" s="14"/>
      <c r="F5" s="15" t="s">
        <v>130</v>
      </c>
      <c r="G5" s="15"/>
      <c r="H5" s="15" t="s">
        <v>94</v>
      </c>
      <c r="I5" s="15" t="s">
        <v>94</v>
      </c>
      <c r="J5" s="18"/>
    </row>
    <row r="6" spans="1:10" ht="15.75" customHeight="1" x14ac:dyDescent="0.2">
      <c r="A6" s="3"/>
      <c r="F6" s="15" t="s">
        <v>131</v>
      </c>
      <c r="G6" s="15"/>
      <c r="H6" s="15" t="s">
        <v>132</v>
      </c>
      <c r="I6" s="15" t="s">
        <v>131</v>
      </c>
    </row>
    <row r="7" spans="1:10" ht="15.75" customHeight="1" x14ac:dyDescent="0.2">
      <c r="A7" s="3"/>
      <c r="F7" s="17"/>
      <c r="G7" s="17"/>
      <c r="H7" s="17"/>
      <c r="I7" s="17"/>
    </row>
    <row r="8" spans="1:10" ht="15.75" customHeight="1" x14ac:dyDescent="0.2">
      <c r="A8" s="5" t="s">
        <v>23</v>
      </c>
      <c r="F8" s="6">
        <f>'Financial Statements'!H8</f>
        <v>401500</v>
      </c>
      <c r="G8" s="6"/>
      <c r="H8" s="6">
        <f>'Financial Statements'!I8</f>
        <v>775827</v>
      </c>
      <c r="I8" s="6">
        <f>'Financial Statements'!I8</f>
        <v>775827</v>
      </c>
    </row>
    <row r="9" spans="1:10" ht="15.75" customHeight="1" x14ac:dyDescent="0.2">
      <c r="F9" s="6"/>
      <c r="G9" s="6"/>
      <c r="H9" s="6"/>
      <c r="I9" s="6"/>
    </row>
    <row r="10" spans="1:10" ht="15.75" customHeight="1" x14ac:dyDescent="0.2">
      <c r="A10" s="5" t="s">
        <v>75</v>
      </c>
      <c r="F10" s="6"/>
      <c r="G10" s="6"/>
      <c r="H10" s="6"/>
      <c r="I10" s="6"/>
    </row>
    <row r="11" spans="1:10" ht="15.75" customHeight="1" x14ac:dyDescent="0.2">
      <c r="A11" s="1" t="s">
        <v>7</v>
      </c>
      <c r="F11" s="6"/>
      <c r="G11" s="6"/>
      <c r="H11" s="6">
        <v>11980</v>
      </c>
      <c r="I11" s="6">
        <v>22700</v>
      </c>
    </row>
    <row r="12" spans="1:10" ht="15.75" customHeight="1" x14ac:dyDescent="0.2">
      <c r="A12" s="1" t="s">
        <v>135</v>
      </c>
      <c r="F12" s="6">
        <v>15650</v>
      </c>
      <c r="G12" s="6"/>
      <c r="H12" s="6">
        <v>16450</v>
      </c>
      <c r="I12" s="6">
        <v>19810</v>
      </c>
    </row>
    <row r="13" spans="1:10" ht="15.75" customHeight="1" x14ac:dyDescent="0.2">
      <c r="A13" s="1" t="s">
        <v>87</v>
      </c>
      <c r="F13" s="6"/>
      <c r="G13" s="6"/>
      <c r="H13" s="6"/>
      <c r="I13" s="6"/>
    </row>
    <row r="14" spans="1:10" ht="15.75" customHeight="1" x14ac:dyDescent="0.2">
      <c r="A14" s="1" t="s">
        <v>78</v>
      </c>
      <c r="F14" s="6">
        <v>9722</v>
      </c>
      <c r="G14" s="6"/>
      <c r="H14" s="6"/>
      <c r="I14" s="6"/>
    </row>
    <row r="15" spans="1:10" ht="15.75" customHeight="1" x14ac:dyDescent="0.2">
      <c r="F15" s="6"/>
      <c r="G15" s="6"/>
      <c r="H15" s="6"/>
      <c r="I15" s="6"/>
    </row>
    <row r="16" spans="1:10" ht="15.75" customHeight="1" x14ac:dyDescent="0.2">
      <c r="A16" s="1" t="s">
        <v>3</v>
      </c>
      <c r="F16" s="6">
        <f>-FAR!G20</f>
        <v>1079555.75</v>
      </c>
      <c r="G16" s="6"/>
      <c r="H16" s="6">
        <v>1063380</v>
      </c>
      <c r="I16" s="6">
        <f>H16</f>
        <v>1063380</v>
      </c>
    </row>
    <row r="17" spans="1:9" ht="15.75" customHeight="1" x14ac:dyDescent="0.2">
      <c r="A17" s="1" t="s">
        <v>30</v>
      </c>
      <c r="F17" s="6">
        <v>3000</v>
      </c>
      <c r="G17" s="6"/>
    </row>
    <row r="18" spans="1:9" ht="15.75" customHeight="1" x14ac:dyDescent="0.2">
      <c r="A18" s="1" t="s">
        <v>79</v>
      </c>
      <c r="F18" s="6"/>
      <c r="G18" s="6"/>
      <c r="H18" s="6"/>
      <c r="I18" s="6"/>
    </row>
    <row r="19" spans="1:9" ht="15.75" customHeight="1" x14ac:dyDescent="0.2">
      <c r="A19" s="1" t="s">
        <v>4</v>
      </c>
      <c r="F19" s="6"/>
      <c r="G19" s="6"/>
      <c r="H19" s="6">
        <v>17500</v>
      </c>
      <c r="I19" s="6">
        <f>H19</f>
        <v>17500</v>
      </c>
    </row>
    <row r="20" spans="1:9" ht="15.75" customHeight="1" x14ac:dyDescent="0.2">
      <c r="A20" s="1" t="s">
        <v>80</v>
      </c>
      <c r="F20" s="6">
        <f>FAR!E38-FAR!E20</f>
        <v>18300</v>
      </c>
      <c r="G20" s="6"/>
      <c r="H20" s="6">
        <v>8955</v>
      </c>
      <c r="I20" s="6">
        <f>H20</f>
        <v>8955</v>
      </c>
    </row>
    <row r="21" spans="1:9" ht="15.75" customHeight="1" x14ac:dyDescent="0.2">
      <c r="F21" s="6"/>
      <c r="G21" s="6"/>
      <c r="H21" s="6"/>
      <c r="I21" s="6"/>
    </row>
    <row r="22" spans="1:9" ht="15.75" customHeight="1" x14ac:dyDescent="0.2">
      <c r="A22" s="1" t="s">
        <v>31</v>
      </c>
      <c r="F22" s="6"/>
      <c r="G22" s="6"/>
      <c r="H22" s="6"/>
      <c r="I22" s="6"/>
    </row>
    <row r="23" spans="1:9" ht="15.75" customHeight="1" x14ac:dyDescent="0.2">
      <c r="A23" s="1" t="s">
        <v>71</v>
      </c>
      <c r="F23" s="6">
        <f>'Financial Statements'!H46*0.9</f>
        <v>355500</v>
      </c>
      <c r="G23" s="6"/>
      <c r="H23" s="6">
        <f>'Financial Statements'!I46*0.87</f>
        <v>305022</v>
      </c>
      <c r="I23" s="6">
        <f>'Financial Statements'!I46*0.9</f>
        <v>315540</v>
      </c>
    </row>
    <row r="24" spans="1:9" ht="15.75" customHeight="1" x14ac:dyDescent="0.2">
      <c r="A24" s="1" t="s">
        <v>81</v>
      </c>
      <c r="F24" s="6">
        <f>'Financial Statements'!H47</f>
        <v>30500</v>
      </c>
      <c r="G24" s="6"/>
      <c r="H24" s="6">
        <f>'Financial Statements'!I47</f>
        <v>25500</v>
      </c>
      <c r="I24" s="6">
        <f>H24</f>
        <v>25500</v>
      </c>
    </row>
    <row r="25" spans="1:9" ht="15.75" customHeight="1" x14ac:dyDescent="0.2">
      <c r="A25" s="1" t="s">
        <v>82</v>
      </c>
      <c r="F25" s="6"/>
      <c r="G25" s="6"/>
    </row>
    <row r="26" spans="1:9" ht="15.75" customHeight="1" x14ac:dyDescent="0.2">
      <c r="A26" s="1" t="s">
        <v>32</v>
      </c>
      <c r="F26" s="6">
        <f>'Financial Statements'!H38</f>
        <v>107000</v>
      </c>
      <c r="G26" s="6"/>
      <c r="H26" s="6">
        <f>'Financial Statements'!I38</f>
        <v>65000</v>
      </c>
      <c r="I26" s="6">
        <f>H26</f>
        <v>65000</v>
      </c>
    </row>
    <row r="27" spans="1:9" ht="15.75" customHeight="1" x14ac:dyDescent="0.2">
      <c r="A27" s="1" t="s">
        <v>83</v>
      </c>
      <c r="F27" s="6">
        <v>25000</v>
      </c>
      <c r="G27" s="6"/>
      <c r="H27" s="6">
        <v>22000</v>
      </c>
      <c r="I27" s="6">
        <f>H27</f>
        <v>22000</v>
      </c>
    </row>
    <row r="28" spans="1:9" ht="15.75" customHeight="1" x14ac:dyDescent="0.2">
      <c r="F28" s="6"/>
      <c r="G28" s="6"/>
      <c r="H28" s="6"/>
      <c r="I28" s="6"/>
    </row>
    <row r="29" spans="1:9" ht="15.75" customHeight="1" x14ac:dyDescent="0.2">
      <c r="A29" s="5" t="s">
        <v>76</v>
      </c>
      <c r="F29" s="6"/>
      <c r="G29" s="6"/>
      <c r="H29" s="6"/>
      <c r="I29" s="6"/>
    </row>
    <row r="30" spans="1:9" ht="15.75" customHeight="1" x14ac:dyDescent="0.2">
      <c r="A30" s="1" t="s">
        <v>39</v>
      </c>
      <c r="F30" s="6"/>
      <c r="G30" s="6"/>
      <c r="H30" s="6">
        <v>-23100</v>
      </c>
      <c r="I30" s="6">
        <f>H30</f>
        <v>-23100</v>
      </c>
    </row>
    <row r="31" spans="1:9" ht="15.75" customHeight="1" x14ac:dyDescent="0.2">
      <c r="A31" s="1" t="s">
        <v>85</v>
      </c>
      <c r="F31" s="6"/>
      <c r="G31" s="6"/>
      <c r="H31" s="6"/>
      <c r="I31" s="6"/>
    </row>
    <row r="32" spans="1:9" ht="15.75" customHeight="1" x14ac:dyDescent="0.2">
      <c r="A32" s="1" t="s">
        <v>100</v>
      </c>
      <c r="F32" s="6"/>
      <c r="G32" s="6"/>
      <c r="H32" s="6"/>
      <c r="I32" s="6"/>
    </row>
    <row r="33" spans="1:9" ht="15.75" customHeight="1" x14ac:dyDescent="0.2">
      <c r="F33" s="6"/>
      <c r="G33" s="6"/>
      <c r="H33" s="6"/>
      <c r="I33" s="6"/>
    </row>
    <row r="34" spans="1:9" ht="15.75" customHeight="1" x14ac:dyDescent="0.2">
      <c r="A34" s="1" t="s">
        <v>5</v>
      </c>
      <c r="F34" s="6">
        <f>FAR!G38</f>
        <v>-1012183.2</v>
      </c>
      <c r="G34" s="6"/>
      <c r="H34" s="6">
        <v>-975280</v>
      </c>
      <c r="I34" s="6">
        <f>H34+8000</f>
        <v>-967280</v>
      </c>
    </row>
    <row r="35" spans="1:9" ht="15.75" customHeight="1" x14ac:dyDescent="0.2">
      <c r="A35" s="1" t="s">
        <v>33</v>
      </c>
      <c r="F35" s="6">
        <v>-1400</v>
      </c>
      <c r="G35" s="6"/>
      <c r="H35" s="6"/>
      <c r="I35" s="6"/>
    </row>
    <row r="36" spans="1:9" ht="15.75" customHeight="1" x14ac:dyDescent="0.2">
      <c r="A36" s="1" t="s">
        <v>84</v>
      </c>
      <c r="F36" s="6"/>
      <c r="G36" s="6"/>
      <c r="H36" s="6">
        <v>-13000</v>
      </c>
      <c r="I36" s="6">
        <f>H36</f>
        <v>-13000</v>
      </c>
    </row>
    <row r="37" spans="1:9" ht="15.75" customHeight="1" x14ac:dyDescent="0.2">
      <c r="A37" s="1" t="s">
        <v>35</v>
      </c>
      <c r="F37" s="6"/>
      <c r="G37" s="6"/>
      <c r="H37" s="6"/>
      <c r="I37" s="6"/>
    </row>
    <row r="38" spans="1:9" ht="15.75" customHeight="1" x14ac:dyDescent="0.2">
      <c r="F38" s="6"/>
      <c r="G38" s="6"/>
      <c r="H38" s="6"/>
      <c r="I38" s="6"/>
    </row>
    <row r="39" spans="1:9" ht="15.75" customHeight="1" x14ac:dyDescent="0.2">
      <c r="A39" s="1" t="s">
        <v>34</v>
      </c>
      <c r="F39" s="6"/>
      <c r="G39" s="6"/>
      <c r="H39" s="6"/>
      <c r="I39" s="6"/>
    </row>
    <row r="40" spans="1:9" ht="15.75" customHeight="1" x14ac:dyDescent="0.2">
      <c r="A40" s="1" t="s">
        <v>71</v>
      </c>
      <c r="F40" s="6">
        <f>-H23</f>
        <v>-305022</v>
      </c>
      <c r="G40" s="6"/>
      <c r="H40" s="6">
        <v>-285325</v>
      </c>
      <c r="I40" s="6">
        <f>H40</f>
        <v>-285325</v>
      </c>
    </row>
    <row r="41" spans="1:9" ht="15.75" customHeight="1" x14ac:dyDescent="0.2">
      <c r="A41" s="1" t="s">
        <v>81</v>
      </c>
      <c r="F41" s="6">
        <f>-H24</f>
        <v>-25500</v>
      </c>
      <c r="G41" s="6"/>
      <c r="H41" s="6">
        <v>-24750</v>
      </c>
      <c r="I41" s="6">
        <f>H41</f>
        <v>-24750</v>
      </c>
    </row>
    <row r="42" spans="1:9" ht="15.75" customHeight="1" x14ac:dyDescent="0.2">
      <c r="A42" s="1" t="s">
        <v>82</v>
      </c>
      <c r="F42" s="6"/>
      <c r="G42" s="6"/>
      <c r="H42" s="6"/>
      <c r="I42" s="6"/>
    </row>
    <row r="43" spans="1:9" ht="15.75" customHeight="1" x14ac:dyDescent="0.2">
      <c r="A43" s="1" t="s">
        <v>32</v>
      </c>
      <c r="F43" s="6">
        <f>-H26</f>
        <v>-65000</v>
      </c>
      <c r="G43" s="6"/>
      <c r="H43" s="6">
        <v>-60000</v>
      </c>
      <c r="I43" s="6">
        <f>H43</f>
        <v>-60000</v>
      </c>
    </row>
    <row r="44" spans="1:9" ht="15.75" customHeight="1" x14ac:dyDescent="0.2">
      <c r="A44" s="1" t="s">
        <v>83</v>
      </c>
      <c r="F44" s="6">
        <f>-H27</f>
        <v>-22000</v>
      </c>
      <c r="G44" s="6"/>
      <c r="H44" s="6">
        <v>-21000</v>
      </c>
      <c r="I44" s="6">
        <f>H44</f>
        <v>-21000</v>
      </c>
    </row>
    <row r="45" spans="1:9" ht="15.75" customHeight="1" x14ac:dyDescent="0.2">
      <c r="F45" s="7"/>
      <c r="G45" s="6"/>
      <c r="H45" s="7"/>
      <c r="I45" s="7"/>
    </row>
    <row r="46" spans="1:9" ht="15.75" customHeight="1" x14ac:dyDescent="0.2">
      <c r="A46" s="1" t="s">
        <v>122</v>
      </c>
      <c r="F46" s="6">
        <f>SUM(F8:F44)</f>
        <v>614622.55000000005</v>
      </c>
      <c r="G46" s="6"/>
      <c r="H46" s="6">
        <f>SUM(H8:H44)</f>
        <v>909159</v>
      </c>
      <c r="I46" s="6">
        <f>SUM(I8:I44)</f>
        <v>941757</v>
      </c>
    </row>
    <row r="47" spans="1:9" ht="15.75" customHeight="1" x14ac:dyDescent="0.2">
      <c r="A47" s="1" t="s">
        <v>11</v>
      </c>
      <c r="F47" s="6">
        <v>0</v>
      </c>
      <c r="G47" s="6"/>
      <c r="H47" s="6">
        <v>-144950</v>
      </c>
      <c r="I47" s="6">
        <f>H47</f>
        <v>-144950</v>
      </c>
    </row>
    <row r="48" spans="1:9" ht="15.75" customHeight="1" x14ac:dyDescent="0.2">
      <c r="A48" s="1" t="s">
        <v>10</v>
      </c>
      <c r="F48" s="6">
        <v>0</v>
      </c>
      <c r="G48" s="6"/>
      <c r="H48" s="6">
        <f>-82000*0.28</f>
        <v>-22960.000000000004</v>
      </c>
      <c r="I48" s="6">
        <v>0</v>
      </c>
    </row>
    <row r="49" spans="1:10" ht="15.75" customHeight="1" x14ac:dyDescent="0.2">
      <c r="A49" s="1" t="s">
        <v>9</v>
      </c>
      <c r="F49" s="6">
        <v>0</v>
      </c>
      <c r="G49" s="6"/>
      <c r="H49" s="6">
        <f>-82000*0.72</f>
        <v>-59040</v>
      </c>
      <c r="I49" s="6">
        <v>0</v>
      </c>
    </row>
    <row r="50" spans="1:10" ht="15.75" customHeight="1" thickBot="1" x14ac:dyDescent="0.25">
      <c r="A50" s="5" t="s">
        <v>6</v>
      </c>
      <c r="F50" s="8">
        <f>SUM(F46:F49)</f>
        <v>614622.55000000005</v>
      </c>
      <c r="G50" s="6"/>
      <c r="H50" s="8">
        <f>SUM(H46:H49)</f>
        <v>682209</v>
      </c>
      <c r="I50" s="8">
        <f>SUM(I46:I49)</f>
        <v>796807</v>
      </c>
    </row>
    <row r="51" spans="1:10" ht="15.75" customHeight="1" thickTop="1" x14ac:dyDescent="0.2">
      <c r="F51" s="10"/>
      <c r="G51" s="6"/>
      <c r="H51" s="10"/>
      <c r="I51" s="10"/>
    </row>
    <row r="52" spans="1:10" ht="15.75" customHeight="1" x14ac:dyDescent="0.2">
      <c r="A52" s="1" t="s">
        <v>36</v>
      </c>
      <c r="F52" s="6">
        <f>IF(F50&lt;0,0,F50*0.28)</f>
        <v>172094.31400000004</v>
      </c>
      <c r="G52" s="6"/>
      <c r="H52" s="6">
        <f>IF(H50&lt;0,0,H50*0.28)</f>
        <v>191018.52000000002</v>
      </c>
      <c r="I52" s="6">
        <f>IF(I50&lt;0,0,I50*0.28)</f>
        <v>223105.96000000002</v>
      </c>
    </row>
    <row r="53" spans="1:10" ht="15.75" customHeight="1" x14ac:dyDescent="0.2">
      <c r="A53" s="1" t="s">
        <v>8</v>
      </c>
      <c r="F53" s="6">
        <f>-F14</f>
        <v>-9722</v>
      </c>
      <c r="G53" s="6"/>
      <c r="H53" s="6">
        <f>-H14</f>
        <v>0</v>
      </c>
      <c r="I53" s="6">
        <f>-I14</f>
        <v>0</v>
      </c>
    </row>
    <row r="54" spans="1:10" ht="15.75" customHeight="1" x14ac:dyDescent="0.2">
      <c r="A54" s="1" t="s">
        <v>96</v>
      </c>
      <c r="F54" s="6">
        <f>IF(F52+F53&lt;0,-F52-F53,0)</f>
        <v>0</v>
      </c>
      <c r="G54" s="6"/>
      <c r="H54" s="6">
        <f>IF(H52+H53&lt;0,-H52-H53,0)</f>
        <v>0</v>
      </c>
      <c r="I54" s="6">
        <f>IF(I52+I53&lt;0,-I52-I53,0)</f>
        <v>0</v>
      </c>
    </row>
    <row r="55" spans="1:10" ht="15.75" customHeight="1" thickBot="1" x14ac:dyDescent="0.25">
      <c r="A55" s="5" t="s">
        <v>60</v>
      </c>
      <c r="F55" s="8">
        <f>SUM(F52:F54)</f>
        <v>162372.31400000004</v>
      </c>
      <c r="G55" s="6"/>
      <c r="H55" s="8">
        <f>SUM(H52:H54)</f>
        <v>191018.52000000002</v>
      </c>
      <c r="I55" s="8">
        <f>SUM(I52:I54)</f>
        <v>223105.96000000002</v>
      </c>
    </row>
    <row r="56" spans="1:10" ht="15.75" customHeight="1" thickTop="1" x14ac:dyDescent="0.2">
      <c r="F56" s="6"/>
      <c r="G56" s="6"/>
      <c r="H56" s="6"/>
      <c r="I56" s="6"/>
      <c r="J56" s="6"/>
    </row>
    <row r="57" spans="1:10" ht="15.75" customHeight="1" x14ac:dyDescent="0.2">
      <c r="F57" s="6"/>
      <c r="G57" s="6"/>
      <c r="H57" s="6"/>
      <c r="I57" s="6"/>
      <c r="J57" s="6"/>
    </row>
    <row r="58" spans="1:10" ht="15.75" customHeight="1" x14ac:dyDescent="0.2">
      <c r="A58" s="1" t="s">
        <v>97</v>
      </c>
      <c r="F58" s="6">
        <f>IF(F50&lt;0,-F50,0)</f>
        <v>0</v>
      </c>
      <c r="G58" s="6"/>
      <c r="H58" s="6"/>
      <c r="I58" s="6"/>
      <c r="J58" s="6"/>
    </row>
    <row r="59" spans="1:10" ht="15.75" customHeight="1" x14ac:dyDescent="0.2">
      <c r="A59" s="1" t="s">
        <v>98</v>
      </c>
      <c r="F59" s="6">
        <f>F54/0.28</f>
        <v>0</v>
      </c>
      <c r="G59" s="6"/>
      <c r="H59" s="6"/>
      <c r="I59" s="6"/>
      <c r="J59" s="6"/>
    </row>
    <row r="60" spans="1:10" ht="15.75" customHeight="1" thickBot="1" x14ac:dyDescent="0.25">
      <c r="A60" s="5" t="s">
        <v>99</v>
      </c>
      <c r="F60" s="8">
        <f>SUM(F58:F59)</f>
        <v>0</v>
      </c>
      <c r="G60" s="6"/>
      <c r="H60" s="6"/>
      <c r="I60" s="6"/>
      <c r="J60" s="6"/>
    </row>
    <row r="61" spans="1:10" ht="15.75" customHeight="1" thickTop="1" x14ac:dyDescent="0.2">
      <c r="A61" s="5"/>
      <c r="F61" s="6"/>
      <c r="G61" s="6"/>
      <c r="H61" s="6"/>
      <c r="I61" s="6"/>
      <c r="J61" s="6"/>
    </row>
  </sheetData>
  <phoneticPr fontId="1" type="noConversion"/>
  <pageMargins left="0.75" right="0.75" top="1" bottom="1" header="0.5" footer="0.5"/>
  <pageSetup paperSize="9" scale="74" orientation="portrait" r:id="rId1"/>
  <headerFooter alignWithMargins="0">
    <oddFooter>&amp;L&amp;"Times New Roman,Regular"&amp;8&amp;F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9"/>
  <sheetViews>
    <sheetView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1" width="7.109375" style="1"/>
    <col min="2" max="6" width="12.77734375" style="1" customWidth="1"/>
    <col min="7" max="7" width="6.77734375" style="1" customWidth="1"/>
    <col min="8" max="8" width="12.77734375" style="1" customWidth="1"/>
    <col min="9" max="16384" width="7.109375" style="1"/>
  </cols>
  <sheetData>
    <row r="1" spans="1:8" ht="21" customHeight="1" x14ac:dyDescent="0.2">
      <c r="A1" s="21" t="str">
        <f>'Tax Note'!A1</f>
        <v>TE MOTU CONTRACTING LTD</v>
      </c>
    </row>
    <row r="2" spans="1:8" ht="18" customHeight="1" x14ac:dyDescent="0.2">
      <c r="A2" s="14" t="s">
        <v>37</v>
      </c>
    </row>
    <row r="3" spans="1:8" ht="18" customHeight="1" x14ac:dyDescent="0.2">
      <c r="A3" s="14" t="str">
        <f>'Financial Statements'!A3</f>
        <v>Year ended 30 June 2024</v>
      </c>
    </row>
    <row r="4" spans="1:8" ht="15.75" customHeight="1" x14ac:dyDescent="0.2">
      <c r="A4" s="3"/>
    </row>
    <row r="5" spans="1:8" ht="15.75" customHeight="1" x14ac:dyDescent="0.2">
      <c r="D5" s="13" t="s">
        <v>103</v>
      </c>
      <c r="E5" s="13" t="s">
        <v>104</v>
      </c>
      <c r="F5" s="13" t="s">
        <v>20</v>
      </c>
      <c r="G5" s="13" t="s">
        <v>104</v>
      </c>
      <c r="H5" s="13" t="s">
        <v>104</v>
      </c>
    </row>
    <row r="6" spans="1:8" ht="15.75" customHeight="1" x14ac:dyDescent="0.2">
      <c r="D6" s="13" t="s">
        <v>105</v>
      </c>
      <c r="E6" s="13" t="s">
        <v>106</v>
      </c>
      <c r="F6" s="13" t="s">
        <v>38</v>
      </c>
      <c r="G6" s="13" t="s">
        <v>107</v>
      </c>
      <c r="H6" s="13" t="s">
        <v>108</v>
      </c>
    </row>
    <row r="7" spans="1:8" ht="15.75" customHeight="1" x14ac:dyDescent="0.2">
      <c r="D7" s="13"/>
      <c r="E7" s="13"/>
      <c r="F7" s="13"/>
      <c r="G7" s="13"/>
      <c r="H7" s="13"/>
    </row>
    <row r="8" spans="1:8" ht="15.75" customHeight="1" x14ac:dyDescent="0.2">
      <c r="A8" s="2" t="s">
        <v>72</v>
      </c>
      <c r="D8" s="6">
        <f>'Financial Statements'!H19</f>
        <v>7106177.25</v>
      </c>
      <c r="E8" s="6">
        <f>FAR!H38</f>
        <v>5978346.7999999998</v>
      </c>
      <c r="G8" s="19"/>
    </row>
    <row r="9" spans="1:8" ht="15.75" customHeight="1" x14ac:dyDescent="0.2">
      <c r="A9" s="2" t="s">
        <v>102</v>
      </c>
      <c r="D9" s="6"/>
      <c r="E9" s="6"/>
      <c r="G9" s="19"/>
    </row>
    <row r="10" spans="1:8" ht="15.75" customHeight="1" x14ac:dyDescent="0.2">
      <c r="A10" s="2" t="s">
        <v>101</v>
      </c>
      <c r="D10" s="6"/>
      <c r="E10" s="6"/>
      <c r="G10" s="19"/>
    </row>
    <row r="11" spans="1:8" ht="15.75" customHeight="1" x14ac:dyDescent="0.2">
      <c r="A11" s="2" t="s">
        <v>73</v>
      </c>
      <c r="D11" s="6">
        <f>'Financial Statements'!H20</f>
        <v>498000</v>
      </c>
      <c r="E11" s="6"/>
      <c r="G11" s="19"/>
    </row>
    <row r="12" spans="1:8" ht="15.75" customHeight="1" x14ac:dyDescent="0.2">
      <c r="D12" s="7"/>
      <c r="E12" s="7"/>
      <c r="G12" s="19"/>
    </row>
    <row r="13" spans="1:8" ht="15.75" customHeight="1" x14ac:dyDescent="0.2">
      <c r="D13" s="6">
        <f>SUM(D8:D12)</f>
        <v>7604177.25</v>
      </c>
      <c r="E13" s="6">
        <f>SUM(E8:E12)</f>
        <v>5978346.7999999998</v>
      </c>
      <c r="G13" s="19"/>
    </row>
    <row r="14" spans="1:8" ht="15.75" customHeight="1" x14ac:dyDescent="0.2">
      <c r="A14" s="2" t="s">
        <v>109</v>
      </c>
      <c r="D14" s="6"/>
      <c r="E14" s="6"/>
      <c r="G14" s="19"/>
    </row>
    <row r="15" spans="1:8" ht="15.75" customHeight="1" x14ac:dyDescent="0.2">
      <c r="A15" s="1" t="s">
        <v>26</v>
      </c>
      <c r="D15" s="6">
        <f>-FAR!H10</f>
        <v>-1600000</v>
      </c>
      <c r="E15" s="6">
        <f>-FAR!H27</f>
        <v>-1200000</v>
      </c>
      <c r="G15" s="19"/>
    </row>
    <row r="16" spans="1:8" ht="15.75" customHeight="1" x14ac:dyDescent="0.2">
      <c r="A16" s="1" t="s">
        <v>27</v>
      </c>
      <c r="D16" s="6">
        <f>-FAR!H46</f>
        <v>-752000</v>
      </c>
      <c r="E16" s="6">
        <f>-FAR!H29</f>
        <v>-1280000</v>
      </c>
      <c r="G16" s="19"/>
    </row>
    <row r="17" spans="1:8" ht="15.75" customHeight="1" x14ac:dyDescent="0.2">
      <c r="A17" s="1" t="s">
        <v>102</v>
      </c>
      <c r="D17" s="6"/>
      <c r="E17" s="6"/>
      <c r="G17" s="19"/>
    </row>
    <row r="18" spans="1:8" ht="15.75" customHeight="1" x14ac:dyDescent="0.2">
      <c r="A18" s="1" t="s">
        <v>59</v>
      </c>
      <c r="D18" s="6">
        <f>-'Financial Statements'!H42</f>
        <v>-350000</v>
      </c>
      <c r="E18" s="6"/>
      <c r="G18" s="19"/>
    </row>
    <row r="19" spans="1:8" ht="15.75" customHeight="1" x14ac:dyDescent="0.2">
      <c r="A19" s="1" t="s">
        <v>110</v>
      </c>
      <c r="D19" s="6"/>
      <c r="E19" s="6"/>
      <c r="G19" s="19"/>
    </row>
    <row r="20" spans="1:8" ht="15.75" customHeight="1" x14ac:dyDescent="0.2">
      <c r="A20" s="1" t="s">
        <v>174</v>
      </c>
      <c r="D20" s="6"/>
      <c r="E20" s="6"/>
      <c r="G20" s="19"/>
    </row>
    <row r="21" spans="1:8" ht="15.75" customHeight="1" x14ac:dyDescent="0.2">
      <c r="D21" s="7"/>
      <c r="E21" s="7"/>
      <c r="G21" s="19"/>
    </row>
    <row r="22" spans="1:8" ht="15.75" customHeight="1" x14ac:dyDescent="0.2">
      <c r="D22" s="6">
        <f>SUM(D13:D21)</f>
        <v>4902177.25</v>
      </c>
      <c r="E22" s="6">
        <f>SUM(E13:E21)</f>
        <v>3498346.8</v>
      </c>
      <c r="F22" s="6">
        <f>E22-D22</f>
        <v>-1403830.4500000002</v>
      </c>
      <c r="G22" s="19">
        <v>0.28000000000000003</v>
      </c>
      <c r="H22" s="6">
        <f>ROUND(F22*G22,0)</f>
        <v>-393073</v>
      </c>
    </row>
    <row r="23" spans="1:8" ht="15.75" customHeight="1" x14ac:dyDescent="0.2">
      <c r="F23" s="6"/>
      <c r="G23" s="19"/>
      <c r="H23" s="6"/>
    </row>
    <row r="24" spans="1:8" ht="15.75" customHeight="1" x14ac:dyDescent="0.2">
      <c r="A24" s="2" t="s">
        <v>178</v>
      </c>
      <c r="B24" s="2"/>
      <c r="F24" s="6">
        <f>E24-D24</f>
        <v>0</v>
      </c>
      <c r="G24" s="19">
        <v>0.28000000000000003</v>
      </c>
      <c r="H24" s="6">
        <f>ROUND(F24*G24,0)</f>
        <v>0</v>
      </c>
    </row>
    <row r="25" spans="1:8" ht="15.75" customHeight="1" x14ac:dyDescent="0.2">
      <c r="A25" s="2" t="s">
        <v>177</v>
      </c>
      <c r="F25" s="6">
        <f>E25-D25</f>
        <v>0</v>
      </c>
      <c r="G25" s="19">
        <v>0.28000000000000003</v>
      </c>
      <c r="H25" s="6">
        <f>ROUND(F25*G25,0)</f>
        <v>0</v>
      </c>
    </row>
    <row r="26" spans="1:8" ht="15.75" customHeight="1" x14ac:dyDescent="0.2">
      <c r="A26" s="2" t="s">
        <v>111</v>
      </c>
      <c r="F26" s="6">
        <f>E26-D26</f>
        <v>0</v>
      </c>
      <c r="G26" s="19">
        <v>0.28000000000000003</v>
      </c>
      <c r="H26" s="6">
        <f>ROUND(F26*G26,0)</f>
        <v>0</v>
      </c>
    </row>
    <row r="27" spans="1:8" ht="15.75" customHeight="1" x14ac:dyDescent="0.2">
      <c r="F27" s="6"/>
      <c r="G27" s="19"/>
      <c r="H27" s="6"/>
    </row>
    <row r="28" spans="1:8" ht="15.75" customHeight="1" x14ac:dyDescent="0.2">
      <c r="A28" s="2" t="s">
        <v>86</v>
      </c>
      <c r="F28" s="6"/>
      <c r="G28" s="19"/>
      <c r="H28" s="6"/>
    </row>
    <row r="29" spans="1:8" ht="15.75" customHeight="1" x14ac:dyDescent="0.2">
      <c r="A29" s="1" t="s">
        <v>92</v>
      </c>
      <c r="F29" s="6">
        <f>'Current Tax Calc'!F23</f>
        <v>355500</v>
      </c>
      <c r="G29" s="19"/>
      <c r="H29" s="6"/>
    </row>
    <row r="30" spans="1:8" ht="15.75" customHeight="1" x14ac:dyDescent="0.2">
      <c r="A30" s="1" t="s">
        <v>112</v>
      </c>
      <c r="F30" s="6">
        <f>'Current Tax Calc'!F24</f>
        <v>30500</v>
      </c>
      <c r="G30" s="19"/>
      <c r="H30" s="6"/>
    </row>
    <row r="31" spans="1:8" ht="15.75" customHeight="1" x14ac:dyDescent="0.2">
      <c r="A31" s="1" t="s">
        <v>113</v>
      </c>
      <c r="F31" s="6">
        <f>'Current Tax Calc'!F25</f>
        <v>0</v>
      </c>
      <c r="G31" s="19"/>
      <c r="H31" s="6"/>
    </row>
    <row r="32" spans="1:8" ht="15.75" customHeight="1" x14ac:dyDescent="0.2">
      <c r="F32" s="6"/>
      <c r="G32" s="19">
        <v>0.28000000000000003</v>
      </c>
      <c r="H32" s="6">
        <f>ROUND(SUM(F29:F32)*G32,0)</f>
        <v>108080</v>
      </c>
    </row>
    <row r="33" spans="1:8" ht="15.75" customHeight="1" x14ac:dyDescent="0.2">
      <c r="A33" s="2" t="s">
        <v>114</v>
      </c>
      <c r="F33" s="6"/>
      <c r="G33" s="19"/>
      <c r="H33" s="6"/>
    </row>
    <row r="34" spans="1:8" ht="15.75" customHeight="1" x14ac:dyDescent="0.2">
      <c r="A34" s="1" t="s">
        <v>115</v>
      </c>
      <c r="F34" s="6">
        <f>'Current Tax Calc'!F26</f>
        <v>107000</v>
      </c>
      <c r="G34" s="19"/>
      <c r="H34" s="6"/>
    </row>
    <row r="35" spans="1:8" ht="15.75" customHeight="1" x14ac:dyDescent="0.2">
      <c r="A35" s="1" t="s">
        <v>116</v>
      </c>
      <c r="F35" s="6">
        <f>'Current Tax Calc'!F27</f>
        <v>25000</v>
      </c>
      <c r="G35" s="19"/>
      <c r="H35" s="6"/>
    </row>
    <row r="36" spans="1:8" ht="15.75" customHeight="1" x14ac:dyDescent="0.2">
      <c r="F36" s="6"/>
      <c r="G36" s="19"/>
      <c r="H36" s="6"/>
    </row>
    <row r="37" spans="1:8" ht="15.75" customHeight="1" x14ac:dyDescent="0.2">
      <c r="F37" s="7"/>
      <c r="G37" s="19">
        <v>0.28000000000000003</v>
      </c>
      <c r="H37" s="7">
        <f>ROUND(SUM(F34:F37)*G37,0)</f>
        <v>36960</v>
      </c>
    </row>
    <row r="38" spans="1:8" ht="15.75" customHeight="1" x14ac:dyDescent="0.2">
      <c r="A38" s="2" t="s">
        <v>117</v>
      </c>
      <c r="F38" s="6">
        <f>SUM(F8:F37)</f>
        <v>-885830.45000000019</v>
      </c>
      <c r="G38" s="19"/>
      <c r="H38" s="6">
        <f>SUM(H8:H37)</f>
        <v>-248033</v>
      </c>
    </row>
    <row r="39" spans="1:8" ht="15.75" customHeight="1" x14ac:dyDescent="0.2">
      <c r="A39" s="1" t="s">
        <v>118</v>
      </c>
      <c r="F39" s="7">
        <v>0</v>
      </c>
      <c r="G39" s="19">
        <v>0.28000000000000003</v>
      </c>
      <c r="H39" s="7">
        <f>ROUND(F39*G39,0)</f>
        <v>0</v>
      </c>
    </row>
    <row r="40" spans="1:8" ht="15.75" customHeight="1" x14ac:dyDescent="0.2">
      <c r="A40" s="2" t="s">
        <v>93</v>
      </c>
      <c r="F40" s="6">
        <f>SUM(F38:F39)</f>
        <v>-885830.45000000019</v>
      </c>
      <c r="G40" s="19"/>
      <c r="H40" s="6">
        <f>SUM(H38:H39)</f>
        <v>-248033</v>
      </c>
    </row>
    <row r="41" spans="1:8" ht="15.75" customHeight="1" x14ac:dyDescent="0.2">
      <c r="F41" s="6"/>
      <c r="G41" s="19"/>
      <c r="H41" s="6"/>
    </row>
    <row r="42" spans="1:8" ht="15.75" customHeight="1" x14ac:dyDescent="0.2">
      <c r="A42" s="2" t="s">
        <v>119</v>
      </c>
      <c r="F42" s="6">
        <f>'Current Tax Calc'!F60</f>
        <v>0</v>
      </c>
      <c r="G42" s="19">
        <v>0.28000000000000003</v>
      </c>
      <c r="H42" s="6">
        <f>ROUND(F42*G42,0)</f>
        <v>0</v>
      </c>
    </row>
    <row r="43" spans="1:8" ht="15.75" customHeight="1" x14ac:dyDescent="0.2">
      <c r="A43" s="1" t="s">
        <v>120</v>
      </c>
      <c r="F43" s="7">
        <v>0</v>
      </c>
      <c r="G43" s="19">
        <v>0.28000000000000003</v>
      </c>
      <c r="H43" s="7">
        <f>ROUND(F43*G43,0)</f>
        <v>0</v>
      </c>
    </row>
    <row r="44" spans="1:8" ht="15.75" customHeight="1" x14ac:dyDescent="0.2">
      <c r="A44" s="2" t="s">
        <v>121</v>
      </c>
      <c r="F44" s="6">
        <f>SUM(F42:F43)</f>
        <v>0</v>
      </c>
      <c r="G44" s="19"/>
      <c r="H44" s="6">
        <f>SUM(H42:H43)</f>
        <v>0</v>
      </c>
    </row>
    <row r="45" spans="1:8" ht="15.75" customHeight="1" x14ac:dyDescent="0.2">
      <c r="F45" s="6"/>
      <c r="G45" s="19"/>
      <c r="H45" s="6"/>
    </row>
    <row r="46" spans="1:8" ht="15.75" customHeight="1" thickBot="1" x14ac:dyDescent="0.25">
      <c r="A46" s="2" t="s">
        <v>16</v>
      </c>
      <c r="F46" s="6"/>
      <c r="G46" s="19"/>
      <c r="H46" s="8">
        <f>+H44+H40</f>
        <v>-248033</v>
      </c>
    </row>
    <row r="47" spans="1:8" ht="15.75" customHeight="1" thickTop="1" x14ac:dyDescent="0.2">
      <c r="A47" s="3"/>
      <c r="F47" s="6"/>
      <c r="G47" s="19"/>
      <c r="H47" s="6"/>
    </row>
    <row r="48" spans="1:8" ht="15.75" customHeight="1" x14ac:dyDescent="0.2">
      <c r="A48" s="3"/>
      <c r="F48" s="6"/>
      <c r="G48" s="19"/>
      <c r="H48" s="6"/>
    </row>
    <row r="49" spans="1:8" ht="15.75" customHeight="1" x14ac:dyDescent="0.2">
      <c r="A49" s="2" t="s">
        <v>175</v>
      </c>
      <c r="E49" s="6"/>
      <c r="F49" s="6"/>
      <c r="G49" s="19"/>
      <c r="H49" s="6"/>
    </row>
    <row r="50" spans="1:8" ht="15.75" customHeight="1" x14ac:dyDescent="0.2">
      <c r="A50" s="14"/>
      <c r="E50" s="6"/>
      <c r="F50" s="6"/>
      <c r="G50" s="19"/>
      <c r="H50" s="6"/>
    </row>
    <row r="51" spans="1:8" ht="15.75" customHeight="1" x14ac:dyDescent="0.2">
      <c r="A51" s="1" t="s">
        <v>90</v>
      </c>
      <c r="E51" s="6"/>
      <c r="F51" s="6">
        <f>FAR!D17</f>
        <v>851000</v>
      </c>
      <c r="G51" s="19"/>
      <c r="H51" s="6"/>
    </row>
    <row r="52" spans="1:8" ht="15.75" customHeight="1" x14ac:dyDescent="0.2">
      <c r="A52" s="1" t="s">
        <v>48</v>
      </c>
      <c r="E52" s="6"/>
      <c r="F52" s="7">
        <f>-FAR!D10</f>
        <v>-400000</v>
      </c>
      <c r="G52" s="19"/>
      <c r="H52" s="6"/>
    </row>
    <row r="53" spans="1:8" ht="15.75" customHeight="1" x14ac:dyDescent="0.2">
      <c r="E53" s="6"/>
      <c r="F53" s="6">
        <f>SUM(F51:F52)</f>
        <v>451000</v>
      </c>
      <c r="G53" s="19">
        <v>0.28000000000000003</v>
      </c>
      <c r="H53" s="6">
        <f>F53*G53</f>
        <v>126280.00000000001</v>
      </c>
    </row>
    <row r="54" spans="1:8" ht="15.75" customHeight="1" x14ac:dyDescent="0.2">
      <c r="E54" s="6"/>
      <c r="F54" s="6"/>
      <c r="G54" s="19"/>
      <c r="H54" s="6"/>
    </row>
    <row r="55" spans="1:8" ht="15.75" customHeight="1" x14ac:dyDescent="0.2">
      <c r="A55" s="1" t="s">
        <v>88</v>
      </c>
      <c r="E55" s="6"/>
      <c r="F55" s="6"/>
      <c r="G55" s="19">
        <v>0.28000000000000003</v>
      </c>
      <c r="H55" s="6">
        <f>F55*G55</f>
        <v>0</v>
      </c>
    </row>
    <row r="56" spans="1:8" ht="15.75" customHeight="1" x14ac:dyDescent="0.2">
      <c r="A56" s="1" t="s">
        <v>89</v>
      </c>
      <c r="E56" s="6"/>
      <c r="F56" s="6"/>
      <c r="G56" s="19"/>
      <c r="H56" s="6">
        <v>0</v>
      </c>
    </row>
    <row r="57" spans="1:8" ht="15.75" customHeight="1" x14ac:dyDescent="0.2">
      <c r="E57" s="6"/>
      <c r="F57" s="6"/>
      <c r="G57" s="19"/>
      <c r="H57" s="6"/>
    </row>
    <row r="58" spans="1:8" ht="15.75" customHeight="1" thickBot="1" x14ac:dyDescent="0.25">
      <c r="E58" s="6"/>
      <c r="F58" s="6"/>
      <c r="G58" s="6"/>
      <c r="H58" s="8">
        <f>SUM(H51:H57)</f>
        <v>126280.00000000001</v>
      </c>
    </row>
    <row r="59" spans="1:8" ht="15.75" customHeight="1" thickTop="1" x14ac:dyDescent="0.2">
      <c r="F59" s="6"/>
      <c r="G59" s="6"/>
      <c r="H59" s="6"/>
    </row>
  </sheetData>
  <phoneticPr fontId="1" type="noConversion"/>
  <pageMargins left="0.75" right="0.75" top="1" bottom="1" header="0.5" footer="0.5"/>
  <pageSetup paperSize="9" scale="68" orientation="portrait" r:id="rId1"/>
  <headerFooter alignWithMargins="0">
    <oddFooter>&amp;L&amp;"Times New Roman,Regular"&amp;8&amp;F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6"/>
  <sheetViews>
    <sheetView zoomScaleNormal="100" zoomScaleSheetLayoutView="100" workbookViewId="0">
      <selection activeCell="A4" sqref="A4"/>
    </sheetView>
  </sheetViews>
  <sheetFormatPr defaultColWidth="7.109375" defaultRowHeight="15.75" customHeight="1" x14ac:dyDescent="0.2"/>
  <cols>
    <col min="1" max="1" width="2.5546875" style="1" customWidth="1"/>
    <col min="2" max="2" width="29.109375" style="1" customWidth="1"/>
    <col min="3" max="8" width="10.77734375" style="1" customWidth="1"/>
    <col min="9" max="9" width="9.77734375" style="1" customWidth="1"/>
    <col min="10" max="16384" width="7.109375" style="1"/>
  </cols>
  <sheetData>
    <row r="1" spans="1:8" ht="21" customHeight="1" x14ac:dyDescent="0.2">
      <c r="A1" s="21" t="str">
        <f>'Tax Note'!A1</f>
        <v>TE MOTU CONTRACTING LTD</v>
      </c>
    </row>
    <row r="2" spans="1:8" ht="18" customHeight="1" x14ac:dyDescent="0.2">
      <c r="A2" s="14" t="s">
        <v>61</v>
      </c>
    </row>
    <row r="3" spans="1:8" ht="18" customHeight="1" x14ac:dyDescent="0.2">
      <c r="A3" s="14" t="str">
        <f>'Financial Statements'!A3</f>
        <v>Year ended 30 June 2024</v>
      </c>
    </row>
    <row r="6" spans="1:8" ht="15.75" customHeight="1" x14ac:dyDescent="0.2">
      <c r="A6" s="2" t="s">
        <v>172</v>
      </c>
    </row>
    <row r="8" spans="1:8" ht="15.75" customHeight="1" x14ac:dyDescent="0.2">
      <c r="C8" s="1" t="s">
        <v>62</v>
      </c>
      <c r="D8" s="1" t="s">
        <v>145</v>
      </c>
      <c r="E8" s="1" t="s">
        <v>63</v>
      </c>
      <c r="F8" s="1" t="s">
        <v>146</v>
      </c>
      <c r="G8" s="1" t="s">
        <v>144</v>
      </c>
      <c r="H8" s="1" t="s">
        <v>64</v>
      </c>
    </row>
    <row r="9" spans="1:8" ht="15.75" customHeight="1" x14ac:dyDescent="0.2">
      <c r="C9" s="1" t="s">
        <v>65</v>
      </c>
      <c r="H9" s="1" t="s">
        <v>65</v>
      </c>
    </row>
    <row r="10" spans="1:8" ht="15.75" customHeight="1" x14ac:dyDescent="0.2">
      <c r="A10" s="1" t="s">
        <v>26</v>
      </c>
      <c r="C10" s="6">
        <v>1200000</v>
      </c>
      <c r="D10" s="6">
        <v>400000</v>
      </c>
      <c r="E10" s="6"/>
      <c r="F10" s="6"/>
      <c r="G10" s="6"/>
      <c r="H10" s="6">
        <f>SUM(C10:G10)</f>
        <v>1600000</v>
      </c>
    </row>
    <row r="11" spans="1:8" ht="15.75" customHeight="1" x14ac:dyDescent="0.2">
      <c r="C11" s="6"/>
      <c r="D11" s="6"/>
      <c r="E11" s="6"/>
      <c r="F11" s="6"/>
      <c r="G11" s="6"/>
      <c r="H11" s="6"/>
    </row>
    <row r="12" spans="1:8" ht="15.75" customHeight="1" x14ac:dyDescent="0.2">
      <c r="A12" s="1" t="s">
        <v>27</v>
      </c>
      <c r="C12" s="6">
        <v>2094000</v>
      </c>
      <c r="D12" s="6">
        <v>451000</v>
      </c>
      <c r="E12" s="6"/>
      <c r="F12" s="6"/>
      <c r="G12" s="6">
        <v>-72360</v>
      </c>
      <c r="H12" s="6">
        <f>SUM(C12:G12)</f>
        <v>2472640</v>
      </c>
    </row>
    <row r="13" spans="1:8" ht="15.75" customHeight="1" x14ac:dyDescent="0.2">
      <c r="C13" s="6"/>
      <c r="D13" s="6"/>
      <c r="E13" s="6"/>
      <c r="F13" s="6"/>
      <c r="G13" s="6"/>
      <c r="H13" s="6"/>
    </row>
    <row r="14" spans="1:8" ht="15.75" customHeight="1" x14ac:dyDescent="0.2">
      <c r="A14" s="1" t="s">
        <v>28</v>
      </c>
      <c r="C14" s="6">
        <v>3105800</v>
      </c>
      <c r="D14" s="6"/>
      <c r="E14" s="6">
        <v>453800</v>
      </c>
      <c r="F14" s="6"/>
      <c r="G14" s="6">
        <f>-(C14+E14/2+F14)*25%</f>
        <v>-833175</v>
      </c>
      <c r="H14" s="6">
        <f>SUM(C14:G14)</f>
        <v>2726425</v>
      </c>
    </row>
    <row r="15" spans="1:8" ht="15.75" customHeight="1" x14ac:dyDescent="0.2">
      <c r="C15" s="6"/>
      <c r="D15" s="6"/>
      <c r="E15" s="6"/>
      <c r="F15" s="6"/>
      <c r="G15" s="6"/>
      <c r="H15" s="6"/>
    </row>
    <row r="16" spans="1:8" ht="15.75" customHeight="1" x14ac:dyDescent="0.2">
      <c r="A16" s="1" t="s">
        <v>29</v>
      </c>
      <c r="C16" s="7">
        <v>373033</v>
      </c>
      <c r="D16" s="7"/>
      <c r="E16" s="7">
        <v>62100</v>
      </c>
      <c r="F16" s="7">
        <v>-36000</v>
      </c>
      <c r="G16" s="7">
        <f>-(C16+E16/2+F16)*25%</f>
        <v>-92020.75</v>
      </c>
      <c r="H16" s="7">
        <f>SUM(C16:G16)</f>
        <v>307112.25</v>
      </c>
    </row>
    <row r="17" spans="1:8" ht="15.75" customHeight="1" x14ac:dyDescent="0.2">
      <c r="C17" s="6">
        <f t="shared" ref="C17:H17" si="0">SUM(C10:C16)</f>
        <v>6772833</v>
      </c>
      <c r="D17" s="6">
        <f t="shared" si="0"/>
        <v>851000</v>
      </c>
      <c r="E17" s="6">
        <f t="shared" si="0"/>
        <v>515900</v>
      </c>
      <c r="F17" s="6">
        <f t="shared" si="0"/>
        <v>-36000</v>
      </c>
      <c r="G17" s="6">
        <f t="shared" si="0"/>
        <v>-997555.75</v>
      </c>
      <c r="H17" s="6">
        <f t="shared" si="0"/>
        <v>7106177.25</v>
      </c>
    </row>
    <row r="18" spans="1:8" ht="15.75" customHeight="1" x14ac:dyDescent="0.2">
      <c r="C18" s="6"/>
      <c r="D18" s="6"/>
      <c r="E18" s="6"/>
      <c r="F18" s="6"/>
      <c r="G18" s="6"/>
      <c r="H18" s="6"/>
    </row>
    <row r="19" spans="1:8" ht="15.75" customHeight="1" x14ac:dyDescent="0.2">
      <c r="A19" s="1" t="s">
        <v>139</v>
      </c>
      <c r="C19" s="6">
        <v>180000</v>
      </c>
      <c r="D19" s="6"/>
      <c r="E19" s="6">
        <v>50000</v>
      </c>
      <c r="F19" s="6"/>
      <c r="G19" s="6">
        <f>-(C19+E19/2+F19)*40%</f>
        <v>-82000</v>
      </c>
      <c r="H19" s="6">
        <f>SUM(C19:G19)</f>
        <v>148000</v>
      </c>
    </row>
    <row r="20" spans="1:8" ht="15.75" customHeight="1" thickBot="1" x14ac:dyDescent="0.25">
      <c r="C20" s="8">
        <f t="shared" ref="C20:H20" si="1">SUM(C17:C19)</f>
        <v>6952833</v>
      </c>
      <c r="D20" s="8">
        <f t="shared" si="1"/>
        <v>851000</v>
      </c>
      <c r="E20" s="8">
        <f t="shared" si="1"/>
        <v>565900</v>
      </c>
      <c r="F20" s="8">
        <f t="shared" si="1"/>
        <v>-36000</v>
      </c>
      <c r="G20" s="8">
        <f t="shared" si="1"/>
        <v>-1079555.75</v>
      </c>
      <c r="H20" s="8">
        <f t="shared" si="1"/>
        <v>7254177.25</v>
      </c>
    </row>
    <row r="21" spans="1:8" ht="15.75" customHeight="1" thickTop="1" x14ac:dyDescent="0.2">
      <c r="C21" s="6"/>
      <c r="D21" s="6"/>
      <c r="E21" s="6"/>
      <c r="F21" s="6"/>
      <c r="G21" s="6"/>
      <c r="H21" s="6"/>
    </row>
    <row r="23" spans="1:8" ht="15.75" customHeight="1" x14ac:dyDescent="0.2">
      <c r="A23" s="2" t="s">
        <v>173</v>
      </c>
    </row>
    <row r="25" spans="1:8" ht="15.75" customHeight="1" x14ac:dyDescent="0.2">
      <c r="C25" s="1" t="s">
        <v>62</v>
      </c>
      <c r="D25" s="1" t="s">
        <v>145</v>
      </c>
      <c r="E25" s="1" t="s">
        <v>63</v>
      </c>
      <c r="F25" s="1" t="s">
        <v>146</v>
      </c>
      <c r="G25" s="1" t="s">
        <v>144</v>
      </c>
      <c r="H25" s="1" t="s">
        <v>64</v>
      </c>
    </row>
    <row r="26" spans="1:8" ht="15.75" customHeight="1" x14ac:dyDescent="0.2">
      <c r="C26" s="1" t="s">
        <v>65</v>
      </c>
      <c r="H26" s="1" t="s">
        <v>65</v>
      </c>
    </row>
    <row r="27" spans="1:8" ht="15.75" customHeight="1" x14ac:dyDescent="0.2">
      <c r="A27" s="1" t="s">
        <v>26</v>
      </c>
      <c r="C27" s="6">
        <v>1200000</v>
      </c>
      <c r="D27" s="6"/>
      <c r="E27" s="6"/>
      <c r="F27" s="6"/>
      <c r="G27" s="6"/>
      <c r="H27" s="6">
        <f>SUM(C27:G27)</f>
        <v>1200000</v>
      </c>
    </row>
    <row r="28" spans="1:8" ht="15.75" customHeight="1" x14ac:dyDescent="0.2">
      <c r="C28" s="6"/>
      <c r="D28" s="6"/>
      <c r="E28" s="6"/>
      <c r="F28" s="6"/>
      <c r="G28" s="6"/>
      <c r="H28" s="6"/>
    </row>
    <row r="29" spans="1:8" ht="15.75" customHeight="1" x14ac:dyDescent="0.2">
      <c r="A29" s="1" t="s">
        <v>183</v>
      </c>
      <c r="C29" s="6">
        <v>1300000</v>
      </c>
      <c r="D29" s="6"/>
      <c r="E29" s="6"/>
      <c r="F29" s="6"/>
      <c r="G29" s="6">
        <v>-20000</v>
      </c>
      <c r="H29" s="6">
        <f>SUM(C29:G29)</f>
        <v>1280000</v>
      </c>
    </row>
    <row r="30" spans="1:8" ht="15.75" customHeight="1" x14ac:dyDescent="0.2">
      <c r="C30" s="6"/>
      <c r="D30" s="6"/>
      <c r="E30" s="6"/>
      <c r="F30" s="6"/>
      <c r="G30" s="6"/>
      <c r="H30" s="6"/>
    </row>
    <row r="31" spans="1:8" ht="15.75" customHeight="1" x14ac:dyDescent="0.2">
      <c r="A31" s="1" t="s">
        <v>182</v>
      </c>
      <c r="C31" s="6">
        <v>326000</v>
      </c>
      <c r="D31" s="6"/>
      <c r="E31" s="6"/>
      <c r="F31" s="6"/>
      <c r="G31" s="6">
        <v>-30000</v>
      </c>
      <c r="H31" s="6">
        <f>SUM(C31:G31)</f>
        <v>296000</v>
      </c>
    </row>
    <row r="32" spans="1:8" ht="15.75" customHeight="1" x14ac:dyDescent="0.2">
      <c r="C32" s="6"/>
      <c r="D32" s="6"/>
      <c r="E32" s="6"/>
      <c r="F32" s="6"/>
      <c r="G32" s="6"/>
      <c r="H32" s="6"/>
    </row>
    <row r="33" spans="1:8" ht="15.75" customHeight="1" x14ac:dyDescent="0.2">
      <c r="A33" s="1" t="s">
        <v>28</v>
      </c>
      <c r="C33" s="6">
        <v>3090799</v>
      </c>
      <c r="D33" s="6"/>
      <c r="E33" s="6">
        <v>472100</v>
      </c>
      <c r="F33" s="6"/>
      <c r="G33" s="6">
        <f>-(C33+E33/2+F33)*24%</f>
        <v>-798443.76</v>
      </c>
      <c r="H33" s="6">
        <f>SUM(C33:G33)</f>
        <v>2764455.24</v>
      </c>
    </row>
    <row r="34" spans="1:8" ht="15.75" customHeight="1" x14ac:dyDescent="0.2">
      <c r="C34" s="6"/>
      <c r="D34" s="6"/>
      <c r="E34" s="6"/>
      <c r="F34" s="6"/>
      <c r="G34" s="6"/>
      <c r="H34" s="6"/>
    </row>
    <row r="35" spans="1:8" ht="15.75" customHeight="1" x14ac:dyDescent="0.2">
      <c r="A35" s="1" t="s">
        <v>29</v>
      </c>
      <c r="C35" s="6">
        <v>343931</v>
      </c>
      <c r="D35" s="6"/>
      <c r="E35" s="6">
        <f>E16</f>
        <v>62100</v>
      </c>
      <c r="F35" s="6">
        <v>-34400</v>
      </c>
      <c r="G35" s="6">
        <f>-(C35+E35/2+F35)*24%</f>
        <v>-81739.44</v>
      </c>
      <c r="H35" s="6">
        <f>SUM(C35:G35)</f>
        <v>289891.56</v>
      </c>
    </row>
    <row r="36" spans="1:8" ht="15.75" customHeight="1" x14ac:dyDescent="0.2">
      <c r="C36" s="6"/>
      <c r="D36" s="6"/>
      <c r="E36" s="6"/>
      <c r="F36" s="6"/>
      <c r="G36" s="6"/>
      <c r="H36" s="6"/>
    </row>
    <row r="37" spans="1:8" ht="15.75" customHeight="1" x14ac:dyDescent="0.2">
      <c r="A37" s="1" t="s">
        <v>139</v>
      </c>
      <c r="C37" s="6">
        <v>180000</v>
      </c>
      <c r="D37" s="6"/>
      <c r="E37" s="6">
        <f>E19</f>
        <v>50000</v>
      </c>
      <c r="F37" s="6"/>
      <c r="G37" s="6">
        <f>-(C37+E37/2+F37)*40%</f>
        <v>-82000</v>
      </c>
      <c r="H37" s="6">
        <f>SUM(C37:G37)</f>
        <v>148000</v>
      </c>
    </row>
    <row r="38" spans="1:8" ht="15.75" customHeight="1" thickBot="1" x14ac:dyDescent="0.25">
      <c r="C38" s="8">
        <f t="shared" ref="C38:H38" si="2">SUM(C27:C37)</f>
        <v>6440730</v>
      </c>
      <c r="D38" s="8">
        <f t="shared" si="2"/>
        <v>0</v>
      </c>
      <c r="E38" s="8">
        <f t="shared" si="2"/>
        <v>584200</v>
      </c>
      <c r="F38" s="8">
        <f t="shared" si="2"/>
        <v>-34400</v>
      </c>
      <c r="G38" s="8">
        <f t="shared" si="2"/>
        <v>-1012183.2</v>
      </c>
      <c r="H38" s="8">
        <f t="shared" si="2"/>
        <v>5978346.7999999998</v>
      </c>
    </row>
    <row r="39" spans="1:8" ht="15.75" customHeight="1" thickTop="1" x14ac:dyDescent="0.2"/>
    <row r="41" spans="1:8" ht="15.75" customHeight="1" x14ac:dyDescent="0.2">
      <c r="A41" s="2" t="s">
        <v>181</v>
      </c>
    </row>
    <row r="43" spans="1:8" ht="15.75" customHeight="1" x14ac:dyDescent="0.2">
      <c r="C43" s="1" t="s">
        <v>62</v>
      </c>
      <c r="D43" s="1" t="s">
        <v>145</v>
      </c>
      <c r="E43" s="1" t="s">
        <v>63</v>
      </c>
      <c r="F43" s="1" t="s">
        <v>146</v>
      </c>
      <c r="G43" s="1" t="s">
        <v>144</v>
      </c>
      <c r="H43" s="1" t="s">
        <v>64</v>
      </c>
    </row>
    <row r="44" spans="1:8" ht="15.75" customHeight="1" x14ac:dyDescent="0.2">
      <c r="C44" s="1" t="s">
        <v>65</v>
      </c>
      <c r="H44" s="1" t="s">
        <v>65</v>
      </c>
    </row>
    <row r="46" spans="1:8" ht="15.75" customHeight="1" x14ac:dyDescent="0.2">
      <c r="A46" s="1" t="s">
        <v>184</v>
      </c>
      <c r="C46" s="1">
        <v>770000</v>
      </c>
      <c r="G46" s="1">
        <v>-18000</v>
      </c>
      <c r="H46" s="6">
        <f>SUM(C46:G46)</f>
        <v>752000</v>
      </c>
    </row>
  </sheetData>
  <phoneticPr fontId="1" type="noConversion"/>
  <pageMargins left="0.75" right="0.75" top="1" bottom="1" header="0.5" footer="0.5"/>
  <pageSetup paperSize="9" scale="75" orientation="portrait" r:id="rId1"/>
  <headerFooter alignWithMargins="0">
    <oddFooter>&amp;L&amp;"Times New Roman,Regular"&amp;8&amp;F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Statements</vt:lpstr>
      <vt:lpstr>Tax Note</vt:lpstr>
      <vt:lpstr>Tax Balances</vt:lpstr>
      <vt:lpstr>Current Tax Calc</vt:lpstr>
      <vt:lpstr>Deferred Tax Calc</vt:lpstr>
      <vt:lpstr>FAR</vt:lpstr>
    </vt:vector>
  </TitlesOfParts>
  <Company>Audit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 New Zealand</dc:creator>
  <cp:lastModifiedBy>Jason Biggins</cp:lastModifiedBy>
  <cp:lastPrinted>2024-05-07T21:35:34Z</cp:lastPrinted>
  <dcterms:created xsi:type="dcterms:W3CDTF">1997-02-24T01:12:49Z</dcterms:created>
  <dcterms:modified xsi:type="dcterms:W3CDTF">2024-05-07T22:31:10Z</dcterms:modified>
</cp:coreProperties>
</file>